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Users/Joseph/Desktop/Stuff/Sp00kySkeletons/Attack Value/"/>
    </mc:Choice>
  </mc:AlternateContent>
  <bookViews>
    <workbookView xWindow="80" yWindow="460" windowWidth="25520" windowHeight="15540" tabRatio="500"/>
  </bookViews>
  <sheets>
    <sheet name="Template" sheetId="1" r:id="rId1"/>
    <sheet name="Breakdown" sheetId="4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" i="1" l="1"/>
  <c r="F24" i="1"/>
  <c r="X4" i="1"/>
  <c r="X5" i="1"/>
  <c r="X6" i="1"/>
  <c r="L38" i="4"/>
  <c r="L37" i="4"/>
  <c r="L39" i="4"/>
  <c r="X7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J38" i="4"/>
  <c r="J37" i="4"/>
  <c r="J39" i="4"/>
  <c r="S18" i="1"/>
  <c r="S25" i="1"/>
  <c r="S23" i="1"/>
  <c r="S22" i="1"/>
  <c r="S21" i="1"/>
  <c r="S24" i="1"/>
  <c r="O29" i="4"/>
  <c r="I38" i="4"/>
  <c r="I37" i="4"/>
  <c r="I39" i="4"/>
  <c r="S26" i="1"/>
  <c r="R38" i="4"/>
  <c r="X10" i="1"/>
  <c r="X11" i="1"/>
  <c r="X13" i="1"/>
  <c r="X12" i="1"/>
  <c r="X14" i="1"/>
  <c r="X15" i="1"/>
  <c r="X16" i="1"/>
  <c r="X17" i="1"/>
  <c r="X18" i="1"/>
  <c r="X19" i="1"/>
  <c r="K38" i="4"/>
  <c r="K37" i="4"/>
  <c r="K39" i="4"/>
  <c r="X20" i="1"/>
  <c r="I56" i="4"/>
  <c r="N56" i="4"/>
  <c r="F14" i="1"/>
  <c r="Z27" i="4"/>
  <c r="AA27" i="4"/>
  <c r="Z28" i="4"/>
  <c r="AA28" i="4"/>
  <c r="Z29" i="4"/>
  <c r="AA29" i="4"/>
  <c r="Z30" i="4"/>
  <c r="AA30" i="4"/>
  <c r="Z26" i="4"/>
  <c r="AA26" i="4"/>
  <c r="T18" i="1"/>
  <c r="N28" i="4"/>
  <c r="O28" i="4"/>
  <c r="O30" i="4"/>
  <c r="C12" i="4"/>
  <c r="D9" i="4"/>
  <c r="D32" i="4"/>
  <c r="C32" i="4"/>
  <c r="L28" i="4"/>
  <c r="M28" i="4"/>
  <c r="R37" i="4"/>
  <c r="R39" i="4"/>
  <c r="N29" i="4"/>
  <c r="D42" i="4"/>
  <c r="C42" i="4"/>
  <c r="L29" i="4"/>
  <c r="M29" i="4"/>
  <c r="N30" i="4"/>
  <c r="L30" i="4"/>
  <c r="M30" i="4"/>
  <c r="N26" i="4"/>
  <c r="J35" i="4"/>
  <c r="O26" i="4"/>
  <c r="I35" i="4"/>
  <c r="D7" i="4"/>
  <c r="L26" i="4"/>
  <c r="L35" i="4"/>
  <c r="M26" i="4"/>
  <c r="R35" i="4"/>
  <c r="K35" i="4"/>
  <c r="T26" i="1"/>
  <c r="Y7" i="1"/>
  <c r="Y20" i="1"/>
  <c r="M14" i="1"/>
  <c r="T21" i="1"/>
  <c r="T22" i="1"/>
  <c r="T23" i="1"/>
  <c r="T24" i="1"/>
  <c r="T25" i="1"/>
  <c r="O27" i="4"/>
  <c r="I36" i="4"/>
  <c r="N27" i="4"/>
  <c r="J36" i="4"/>
  <c r="M27" i="4"/>
  <c r="R36" i="4"/>
  <c r="K36" i="4"/>
  <c r="D12" i="4"/>
  <c r="L27" i="4"/>
  <c r="L36" i="4"/>
  <c r="I46" i="4"/>
  <c r="J46" i="4"/>
  <c r="K46" i="4"/>
  <c r="N46" i="4"/>
  <c r="O46" i="4"/>
  <c r="P46" i="4"/>
  <c r="S46" i="4"/>
  <c r="T46" i="4"/>
  <c r="U46" i="4"/>
  <c r="I47" i="4"/>
  <c r="J47" i="4"/>
  <c r="K47" i="4"/>
  <c r="N47" i="4"/>
  <c r="O47" i="4"/>
  <c r="P47" i="4"/>
  <c r="S47" i="4"/>
  <c r="T47" i="4"/>
  <c r="U47" i="4"/>
  <c r="I48" i="4"/>
  <c r="J48" i="4"/>
  <c r="K48" i="4"/>
  <c r="N48" i="4"/>
  <c r="O48" i="4"/>
  <c r="P48" i="4"/>
  <c r="S48" i="4"/>
  <c r="T48" i="4"/>
  <c r="U48" i="4"/>
  <c r="I49" i="4"/>
  <c r="J49" i="4"/>
  <c r="K49" i="4"/>
  <c r="N49" i="4"/>
  <c r="O49" i="4"/>
  <c r="P49" i="4"/>
  <c r="S49" i="4"/>
  <c r="T49" i="4"/>
  <c r="U49" i="4"/>
  <c r="I50" i="4"/>
  <c r="J50" i="4"/>
  <c r="K50" i="4"/>
  <c r="N50" i="4"/>
  <c r="O50" i="4"/>
  <c r="P50" i="4"/>
  <c r="S50" i="4"/>
  <c r="T50" i="4"/>
  <c r="U50" i="4"/>
  <c r="F23" i="1"/>
  <c r="M9" i="1"/>
  <c r="F9" i="1"/>
  <c r="F21" i="1"/>
  <c r="M4" i="1"/>
  <c r="Z3" i="4"/>
  <c r="X3" i="4"/>
  <c r="V4" i="4"/>
  <c r="V5" i="4"/>
  <c r="V3" i="4"/>
  <c r="W3" i="4"/>
  <c r="F22" i="1"/>
  <c r="C4" i="4"/>
  <c r="C5" i="4"/>
  <c r="C6" i="4"/>
  <c r="C7" i="4"/>
  <c r="C8" i="4"/>
  <c r="C9" i="4"/>
  <c r="C10" i="4"/>
  <c r="C11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3" i="4"/>
  <c r="C34" i="4"/>
  <c r="C35" i="4"/>
  <c r="C36" i="4"/>
  <c r="C37" i="4"/>
  <c r="C38" i="4"/>
  <c r="C39" i="4"/>
  <c r="C40" i="4"/>
  <c r="C41" i="4"/>
  <c r="C43" i="4"/>
  <c r="C44" i="4"/>
  <c r="C45" i="4"/>
  <c r="C46" i="4"/>
  <c r="C3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3" i="4"/>
  <c r="D34" i="4"/>
  <c r="D35" i="4"/>
  <c r="D36" i="4"/>
  <c r="D37" i="4"/>
  <c r="D38" i="4"/>
  <c r="D39" i="4"/>
  <c r="D40" i="4"/>
  <c r="D41" i="4"/>
  <c r="D43" i="4"/>
  <c r="D44" i="4"/>
  <c r="D45" i="4"/>
  <c r="D46" i="4"/>
  <c r="D13" i="4"/>
  <c r="D14" i="4"/>
  <c r="D15" i="4"/>
  <c r="D8" i="4"/>
  <c r="D10" i="4"/>
  <c r="D11" i="4"/>
  <c r="D6" i="4"/>
  <c r="D5" i="4"/>
  <c r="D4" i="4"/>
  <c r="D3" i="4"/>
  <c r="K15" i="4"/>
  <c r="K16" i="4"/>
  <c r="K14" i="4"/>
  <c r="J14" i="4"/>
  <c r="J15" i="4"/>
  <c r="J16" i="4"/>
  <c r="I15" i="4"/>
  <c r="I16" i="4"/>
  <c r="I14" i="4"/>
  <c r="V26" i="4"/>
  <c r="V27" i="4"/>
  <c r="V28" i="4"/>
  <c r="V29" i="4"/>
  <c r="V30" i="4"/>
  <c r="M4" i="4"/>
  <c r="M5" i="4"/>
  <c r="M3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O5" i="4"/>
  <c r="N5" i="4"/>
  <c r="E5" i="4"/>
  <c r="O4" i="4"/>
  <c r="N4" i="4"/>
  <c r="E4" i="4"/>
  <c r="O3" i="4"/>
  <c r="N3" i="4"/>
  <c r="E3" i="4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Y5" i="1"/>
  <c r="Y6" i="1"/>
  <c r="Y4" i="1"/>
  <c r="Y11" i="1"/>
  <c r="Y12" i="1"/>
  <c r="Y13" i="1"/>
  <c r="Y14" i="1"/>
  <c r="Y15" i="1"/>
  <c r="Y16" i="1"/>
  <c r="Y17" i="1"/>
  <c r="Y18" i="1"/>
  <c r="Y19" i="1"/>
  <c r="Y10" i="1"/>
  <c r="T4" i="1"/>
</calcChain>
</file>

<file path=xl/sharedStrings.xml><?xml version="1.0" encoding="utf-8"?>
<sst xmlns="http://schemas.openxmlformats.org/spreadsheetml/2006/main" count="174" uniqueCount="82">
  <si>
    <t>Lvl Weight</t>
  </si>
  <si>
    <t>Type Total</t>
  </si>
  <si>
    <t>%</t>
  </si>
  <si>
    <t>Poison</t>
  </si>
  <si>
    <t>Earthquake</t>
  </si>
  <si>
    <t>Haste</t>
  </si>
  <si>
    <t>Skeleton</t>
  </si>
  <si>
    <t>Lightning</t>
  </si>
  <si>
    <t>Heal</t>
  </si>
  <si>
    <t>Rage</t>
  </si>
  <si>
    <t>Jump</t>
  </si>
  <si>
    <t>Freeze</t>
  </si>
  <si>
    <t>Clone</t>
  </si>
  <si>
    <t>Barbarian</t>
  </si>
  <si>
    <t>Archer</t>
  </si>
  <si>
    <t>Giant</t>
  </si>
  <si>
    <t>Goblin</t>
  </si>
  <si>
    <t>Wall Breaker</t>
  </si>
  <si>
    <t>Balloon</t>
  </si>
  <si>
    <t>Wizard</t>
  </si>
  <si>
    <t>Healer</t>
  </si>
  <si>
    <t>Dragon</t>
  </si>
  <si>
    <t>Pekka</t>
  </si>
  <si>
    <t>Baby Dragon</t>
  </si>
  <si>
    <t>Miner</t>
  </si>
  <si>
    <t>Minion</t>
  </si>
  <si>
    <t>Hog Rider</t>
  </si>
  <si>
    <t>Valkyrie</t>
  </si>
  <si>
    <t>Golem</t>
  </si>
  <si>
    <t>Witch</t>
  </si>
  <si>
    <t>Lava Hound</t>
  </si>
  <si>
    <t>Bowler</t>
  </si>
  <si>
    <t>Archer Queen</t>
  </si>
  <si>
    <t>Barbarian King</t>
  </si>
  <si>
    <t>Grand Warden</t>
  </si>
  <si>
    <t>Town Hall</t>
  </si>
  <si>
    <t>Meta Modifier</t>
  </si>
  <si>
    <t>TH Level</t>
  </si>
  <si>
    <t>Ground</t>
  </si>
  <si>
    <t>Air</t>
  </si>
  <si>
    <t>Attack Value</t>
  </si>
  <si>
    <t>`</t>
  </si>
  <si>
    <t>Ground Portion</t>
  </si>
  <si>
    <t>Air Portion</t>
  </si>
  <si>
    <t>Heroes</t>
  </si>
  <si>
    <t>Town Hall Importance Breakdown</t>
  </si>
  <si>
    <t>Spell Portion</t>
  </si>
  <si>
    <t>Spells</t>
  </si>
  <si>
    <t>Modified Subtotal</t>
  </si>
  <si>
    <t>Level Weight</t>
  </si>
  <si>
    <t>Legend</t>
  </si>
  <si>
    <t>Max Town Hall</t>
  </si>
  <si>
    <t>Color</t>
  </si>
  <si>
    <t>Hero Portion</t>
  </si>
  <si>
    <t>Max Hero Levels by Town Hall</t>
  </si>
  <si>
    <t>BK Level</t>
  </si>
  <si>
    <t>AQ Level</t>
  </si>
  <si>
    <t>Ground Troops</t>
  </si>
  <si>
    <t>Air Troops</t>
  </si>
  <si>
    <t>Boosted Values</t>
  </si>
  <si>
    <t>Totals and Percentages: Formula Assistance for Boosted Values</t>
  </si>
  <si>
    <t>----------&gt;Do Not Touch&lt;----------</t>
  </si>
  <si>
    <t>Values Change with Inputs</t>
  </si>
  <si>
    <t>Conditional Feedback Formula Ast #1: Sum*%</t>
  </si>
  <si>
    <t>Conditional Feedback Formula Ast #2: IF&gt;TH</t>
  </si>
  <si>
    <t>Conditional Feedback Formula Ast #3: TH Max</t>
  </si>
  <si>
    <t>Unadjusted Attack Value Rating</t>
  </si>
  <si>
    <t>Total Relative Completion Percentage</t>
  </si>
  <si>
    <t>Attack</t>
  </si>
  <si>
    <t>Value</t>
  </si>
  <si>
    <t>Rating</t>
  </si>
  <si>
    <t>Percent Complete</t>
  </si>
  <si>
    <r>
      <rPr>
        <b/>
        <i/>
        <sz val="14"/>
        <color theme="1"/>
        <rFont val="Calibri"/>
        <scheme val="minor"/>
      </rPr>
      <t>NEEDS</t>
    </r>
    <r>
      <rPr>
        <i/>
        <sz val="14"/>
        <color theme="1"/>
        <rFont val="Calibri"/>
        <scheme val="minor"/>
      </rPr>
      <t xml:space="preserve"> to be upgraded!</t>
    </r>
  </si>
  <si>
    <r>
      <rPr>
        <b/>
        <i/>
        <sz val="14"/>
        <color theme="1"/>
        <rFont val="Calibri"/>
        <scheme val="minor"/>
      </rPr>
      <t xml:space="preserve">Should </t>
    </r>
    <r>
      <rPr>
        <i/>
        <sz val="14"/>
        <color theme="1"/>
        <rFont val="Calibri"/>
        <scheme val="minor"/>
      </rPr>
      <t>be upgraded soon</t>
    </r>
  </si>
  <si>
    <r>
      <rPr>
        <b/>
        <i/>
        <sz val="14"/>
        <color theme="1"/>
        <rFont val="Calibri"/>
        <scheme val="minor"/>
      </rPr>
      <t>Can wait</t>
    </r>
    <r>
      <rPr>
        <i/>
        <sz val="14"/>
        <color theme="1"/>
        <rFont val="Calibri"/>
        <scheme val="minor"/>
      </rPr>
      <t xml:space="preserve"> to be upgraded</t>
    </r>
  </si>
  <si>
    <t>Upgrade Priority</t>
  </si>
  <si>
    <t>Formula</t>
  </si>
  <si>
    <t>Assistance</t>
  </si>
  <si>
    <t>Weight Modifier</t>
  </si>
  <si>
    <t>Max Weight</t>
  </si>
  <si>
    <t>% of Max</t>
  </si>
  <si>
    <t>Spread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</si>
</sst>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i/>
      <sz val="12"/>
      <color theme="1"/>
      <name val="Calibri"/>
    </font>
    <font>
      <b/>
      <i/>
      <sz val="12"/>
      <color theme="1"/>
      <name val="Calibri"/>
      <scheme val="minor"/>
    </font>
    <font>
      <b/>
      <sz val="24"/>
      <color theme="1"/>
      <name val="Silom"/>
      <charset val="222"/>
    </font>
    <font>
      <sz val="12"/>
      <color theme="1"/>
      <name val="Silom"/>
      <charset val="222"/>
    </font>
    <font>
      <b/>
      <sz val="24"/>
      <color theme="0"/>
      <name val="Silom"/>
      <charset val="222"/>
    </font>
    <font>
      <b/>
      <sz val="16"/>
      <color theme="1"/>
      <name val="Silom"/>
      <charset val="222"/>
    </font>
    <font>
      <sz val="16"/>
      <color theme="1"/>
      <name val="Silom"/>
      <charset val="222"/>
    </font>
    <font>
      <b/>
      <sz val="26"/>
      <color theme="1"/>
      <name val="Calibri"/>
      <scheme val="minor"/>
    </font>
    <font>
      <sz val="24"/>
      <color theme="0"/>
      <name val="Silom"/>
      <charset val="222"/>
    </font>
    <font>
      <b/>
      <sz val="22"/>
      <color theme="1"/>
      <name val="Silom"/>
      <charset val="222"/>
    </font>
    <font>
      <b/>
      <sz val="14"/>
      <color theme="1"/>
      <name val="Calibri"/>
      <family val="2"/>
      <scheme val="minor"/>
    </font>
    <font>
      <i/>
      <sz val="14"/>
      <color theme="1"/>
      <name val="Calibri"/>
      <scheme val="minor"/>
    </font>
    <font>
      <b/>
      <i/>
      <sz val="14"/>
      <color theme="1"/>
      <name val="Calibri"/>
      <scheme val="minor"/>
    </font>
    <font>
      <b/>
      <sz val="20"/>
      <color theme="1"/>
      <name val="Desdemona"/>
    </font>
    <font>
      <b/>
      <sz val="24"/>
      <color theme="1"/>
      <name val="Desdemona"/>
    </font>
    <font>
      <b/>
      <sz val="17"/>
      <color theme="1"/>
      <name val="Desdemona"/>
    </font>
    <font>
      <b/>
      <sz val="26"/>
      <color theme="1"/>
      <name val="Desdemona"/>
    </font>
    <font>
      <u/>
      <sz val="12"/>
      <color theme="1"/>
      <name val="Calibri"/>
      <family val="2"/>
      <scheme val="minor"/>
    </font>
    <font>
      <b/>
      <i/>
      <sz val="17"/>
      <color theme="0"/>
      <name val="Desdemona"/>
    </font>
    <font>
      <b/>
      <i/>
      <sz val="36"/>
      <color theme="1"/>
      <name val="Calibri"/>
      <scheme val="minor"/>
    </font>
    <font>
      <b/>
      <sz val="22"/>
      <color theme="1"/>
      <name val="Calibri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AA2D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EABAA"/>
        <bgColor indexed="64"/>
      </patternFill>
    </fill>
    <fill>
      <patternFill patternType="solid">
        <fgColor rgb="FFFFC10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006FBE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83FF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2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B"/>
        <bgColor indexed="64"/>
      </patternFill>
    </fill>
    <fill>
      <patternFill patternType="solid">
        <fgColor theme="6" tint="0.79998168889431442"/>
        <bgColor indexed="64"/>
      </patternFill>
    </fill>
  </fills>
  <borders count="8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/>
      <bottom style="medium">
        <color auto="1"/>
      </bottom>
      <diagonal/>
    </border>
    <border>
      <left/>
      <right style="medium">
        <color theme="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1"/>
      </top>
      <bottom style="medium">
        <color auto="1"/>
      </bottom>
      <diagonal/>
    </border>
    <border>
      <left/>
      <right/>
      <top style="medium">
        <color theme="1"/>
      </top>
      <bottom style="medium">
        <color auto="1"/>
      </bottom>
      <diagonal/>
    </border>
    <border>
      <left/>
      <right style="medium">
        <color auto="1"/>
      </right>
      <top style="medium">
        <color theme="1"/>
      </top>
      <bottom style="medium">
        <color auto="1"/>
      </bottom>
      <diagonal/>
    </border>
    <border>
      <left/>
      <right style="thin">
        <color auto="1"/>
      </right>
      <top style="medium">
        <color theme="1"/>
      </top>
      <bottom/>
      <diagonal/>
    </border>
    <border>
      <left/>
      <right style="thin">
        <color auto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auto="1"/>
      </left>
      <right/>
      <top style="medium">
        <color theme="1"/>
      </top>
      <bottom/>
      <diagonal/>
    </border>
    <border>
      <left style="thin">
        <color auto="1"/>
      </left>
      <right/>
      <top/>
      <bottom style="medium">
        <color theme="1"/>
      </bottom>
      <diagonal/>
    </border>
    <border>
      <left style="medium">
        <color auto="1"/>
      </left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auto="1"/>
      </top>
      <bottom/>
      <diagonal/>
    </border>
  </borders>
  <cellStyleXfs count="1">
    <xf numFmtId="0" fontId="0" fillId="0" borderId="0"/>
  </cellStyleXfs>
  <cellXfs count="389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9" borderId="0" xfId="0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7" fillId="9" borderId="0" xfId="0" applyFont="1" applyFill="1" applyBorder="1" applyAlignment="1">
      <alignment vertical="center"/>
    </xf>
    <xf numFmtId="0" fontId="7" fillId="8" borderId="0" xfId="0" applyFont="1" applyFill="1" applyBorder="1" applyAlignment="1">
      <alignment vertical="center"/>
    </xf>
    <xf numFmtId="0" fontId="1" fillId="0" borderId="22" xfId="0" applyFont="1" applyBorder="1"/>
    <xf numFmtId="10" fontId="7" fillId="9" borderId="0" xfId="0" applyNumberFormat="1" applyFont="1" applyFill="1" applyBorder="1" applyAlignment="1">
      <alignment vertical="center"/>
    </xf>
    <xf numFmtId="10" fontId="0" fillId="9" borderId="0" xfId="0" applyNumberFormat="1" applyFill="1" applyBorder="1" applyAlignment="1">
      <alignment vertical="center"/>
    </xf>
    <xf numFmtId="0" fontId="6" fillId="9" borderId="0" xfId="0" applyFont="1" applyFill="1" applyBorder="1" applyAlignment="1">
      <alignment horizontal="center" vertical="center"/>
    </xf>
    <xf numFmtId="9" fontId="6" fillId="9" borderId="0" xfId="0" applyNumberFormat="1" applyFont="1" applyFill="1" applyBorder="1" applyAlignment="1">
      <alignment horizontal="center" vertical="center"/>
    </xf>
    <xf numFmtId="2" fontId="8" fillId="8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9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24" xfId="0" applyFont="1" applyBorder="1"/>
    <xf numFmtId="0" fontId="3" fillId="0" borderId="0" xfId="0" applyFont="1" applyFill="1"/>
    <xf numFmtId="0" fontId="2" fillId="2" borderId="0" xfId="0" applyFont="1" applyFill="1" applyBorder="1"/>
    <xf numFmtId="0" fontId="1" fillId="2" borderId="0" xfId="0" applyFont="1" applyFill="1" applyBorder="1"/>
    <xf numFmtId="0" fontId="1" fillId="0" borderId="0" xfId="0" applyFont="1" applyFill="1" applyBorder="1"/>
    <xf numFmtId="0" fontId="0" fillId="3" borderId="21" xfId="0" applyFill="1" applyBorder="1" applyAlignment="1"/>
    <xf numFmtId="0" fontId="0" fillId="14" borderId="34" xfId="0" applyFill="1" applyBorder="1" applyAlignment="1"/>
    <xf numFmtId="0" fontId="0" fillId="12" borderId="36" xfId="0" applyFill="1" applyBorder="1" applyAlignment="1"/>
    <xf numFmtId="0" fontId="0" fillId="13" borderId="36" xfId="0" applyFill="1" applyBorder="1" applyAlignment="1"/>
    <xf numFmtId="0" fontId="0" fillId="6" borderId="36" xfId="0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10" xfId="0" applyFont="1" applyBorder="1"/>
    <xf numFmtId="0" fontId="1" fillId="2" borderId="10" xfId="0" applyFont="1" applyFill="1" applyBorder="1"/>
    <xf numFmtId="0" fontId="1" fillId="0" borderId="0" xfId="0" applyFont="1" applyFill="1" applyBorder="1" applyAlignment="1"/>
    <xf numFmtId="0" fontId="0" fillId="0" borderId="26" xfId="0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1" fillId="10" borderId="41" xfId="0" applyFont="1" applyFill="1" applyBorder="1" applyAlignment="1">
      <alignment horizontal="center"/>
    </xf>
    <xf numFmtId="0" fontId="1" fillId="10" borderId="40" xfId="0" applyFont="1" applyFill="1" applyBorder="1" applyAlignment="1">
      <alignment horizontal="center"/>
    </xf>
    <xf numFmtId="2" fontId="3" fillId="0" borderId="26" xfId="0" applyNumberFormat="1" applyFont="1" applyBorder="1"/>
    <xf numFmtId="2" fontId="3" fillId="0" borderId="27" xfId="0" applyNumberFormat="1" applyFont="1" applyBorder="1"/>
    <xf numFmtId="2" fontId="3" fillId="0" borderId="24" xfId="0" applyNumberFormat="1" applyFont="1" applyBorder="1"/>
    <xf numFmtId="2" fontId="3" fillId="0" borderId="22" xfId="0" applyNumberFormat="1" applyFont="1" applyBorder="1"/>
    <xf numFmtId="2" fontId="3" fillId="0" borderId="28" xfId="0" applyNumberFormat="1" applyFont="1" applyBorder="1"/>
    <xf numFmtId="2" fontId="3" fillId="0" borderId="29" xfId="0" applyNumberFormat="1" applyFont="1" applyBorder="1"/>
    <xf numFmtId="2" fontId="5" fillId="14" borderId="30" xfId="0" applyNumberFormat="1" applyFont="1" applyFill="1" applyBorder="1" applyAlignment="1"/>
    <xf numFmtId="2" fontId="3" fillId="0" borderId="36" xfId="0" applyNumberFormat="1" applyFont="1" applyBorder="1"/>
    <xf numFmtId="2" fontId="5" fillId="14" borderId="34" xfId="0" applyNumberFormat="1" applyFont="1" applyFill="1" applyBorder="1" applyAlignment="1"/>
    <xf numFmtId="2" fontId="5" fillId="14" borderId="42" xfId="0" applyNumberFormat="1" applyFont="1" applyFill="1" applyBorder="1" applyAlignment="1"/>
    <xf numFmtId="2" fontId="3" fillId="10" borderId="25" xfId="0" applyNumberFormat="1" applyFont="1" applyFill="1" applyBorder="1"/>
    <xf numFmtId="2" fontId="3" fillId="10" borderId="41" xfId="0" applyNumberFormat="1" applyFont="1" applyFill="1" applyBorder="1"/>
    <xf numFmtId="2" fontId="3" fillId="10" borderId="40" xfId="0" applyNumberFormat="1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2" fillId="2" borderId="5" xfId="0" applyFont="1" applyFill="1" applyBorder="1" applyAlignment="1"/>
    <xf numFmtId="0" fontId="1" fillId="2" borderId="10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2" fontId="0" fillId="0" borderId="26" xfId="0" applyNumberFormat="1" applyFont="1" applyBorder="1"/>
    <xf numFmtId="2" fontId="0" fillId="6" borderId="26" xfId="0" applyNumberFormat="1" applyFont="1" applyFill="1" applyBorder="1" applyAlignment="1"/>
    <xf numFmtId="2" fontId="0" fillId="13" borderId="26" xfId="0" applyNumberFormat="1" applyFont="1" applyFill="1" applyBorder="1" applyAlignment="1"/>
    <xf numFmtId="2" fontId="0" fillId="12" borderId="26" xfId="0" applyNumberFormat="1" applyFont="1" applyFill="1" applyBorder="1" applyAlignment="1"/>
    <xf numFmtId="2" fontId="0" fillId="3" borderId="26" xfId="0" applyNumberFormat="1" applyFont="1" applyFill="1" applyBorder="1" applyAlignment="1"/>
    <xf numFmtId="2" fontId="0" fillId="14" borderId="26" xfId="0" applyNumberFormat="1" applyFont="1" applyFill="1" applyBorder="1" applyAlignment="1"/>
    <xf numFmtId="2" fontId="0" fillId="0" borderId="24" xfId="0" applyNumberFormat="1" applyFont="1" applyBorder="1"/>
    <xf numFmtId="2" fontId="0" fillId="0" borderId="22" xfId="0" applyNumberFormat="1" applyFont="1" applyBorder="1"/>
    <xf numFmtId="2" fontId="0" fillId="12" borderId="29" xfId="0" applyNumberFormat="1" applyFont="1" applyFill="1" applyBorder="1" applyAlignment="1"/>
    <xf numFmtId="2" fontId="0" fillId="0" borderId="29" xfId="0" applyNumberFormat="1" applyFont="1" applyBorder="1"/>
    <xf numFmtId="2" fontId="0" fillId="14" borderId="29" xfId="0" applyNumberFormat="1" applyFont="1" applyFill="1" applyBorder="1" applyAlignment="1"/>
    <xf numFmtId="2" fontId="0" fillId="0" borderId="31" xfId="0" applyNumberFormat="1" applyFont="1" applyBorder="1"/>
    <xf numFmtId="2" fontId="0" fillId="12" borderId="31" xfId="0" applyNumberFormat="1" applyFont="1" applyFill="1" applyBorder="1" applyAlignment="1"/>
    <xf numFmtId="2" fontId="0" fillId="0" borderId="32" xfId="0" applyNumberFormat="1" applyFont="1" applyBorder="1"/>
    <xf numFmtId="2" fontId="0" fillId="6" borderId="38" xfId="0" applyNumberFormat="1" applyFont="1" applyFill="1" applyBorder="1" applyAlignment="1"/>
    <xf numFmtId="2" fontId="0" fillId="13" borderId="38" xfId="0" applyNumberFormat="1" applyFont="1" applyFill="1" applyBorder="1" applyAlignment="1"/>
    <xf numFmtId="2" fontId="0" fillId="12" borderId="38" xfId="0" applyNumberFormat="1" applyFont="1" applyFill="1" applyBorder="1" applyAlignment="1"/>
    <xf numFmtId="2" fontId="0" fillId="14" borderId="38" xfId="0" applyNumberFormat="1" applyFont="1" applyFill="1" applyBorder="1" applyAlignment="1"/>
    <xf numFmtId="2" fontId="0" fillId="0" borderId="38" xfId="0" applyNumberFormat="1" applyFont="1" applyBorder="1"/>
    <xf numFmtId="2" fontId="0" fillId="0" borderId="44" xfId="0" applyNumberFormat="1" applyFont="1" applyBorder="1"/>
    <xf numFmtId="2" fontId="0" fillId="0" borderId="46" xfId="0" applyNumberFormat="1" applyFont="1" applyBorder="1"/>
    <xf numFmtId="2" fontId="0" fillId="0" borderId="15" xfId="0" applyNumberFormat="1" applyFont="1" applyBorder="1"/>
    <xf numFmtId="2" fontId="0" fillId="0" borderId="17" xfId="0" applyNumberFormat="1" applyFont="1" applyBorder="1"/>
    <xf numFmtId="0" fontId="1" fillId="0" borderId="23" xfId="0" applyFont="1" applyBorder="1" applyAlignment="1"/>
    <xf numFmtId="0" fontId="5" fillId="0" borderId="21" xfId="0" applyFont="1" applyFill="1" applyBorder="1" applyAlignment="1"/>
    <xf numFmtId="0" fontId="5" fillId="0" borderId="36" xfId="0" applyFont="1" applyFill="1" applyBorder="1" applyAlignment="1"/>
    <xf numFmtId="0" fontId="5" fillId="0" borderId="34" xfId="0" applyFont="1" applyFill="1" applyBorder="1" applyAlignment="1"/>
    <xf numFmtId="2" fontId="0" fillId="0" borderId="24" xfId="0" applyNumberFormat="1" applyBorder="1"/>
    <xf numFmtId="2" fontId="0" fillId="0" borderId="26" xfId="0" applyNumberFormat="1" applyBorder="1"/>
    <xf numFmtId="2" fontId="0" fillId="0" borderId="31" xfId="0" applyNumberFormat="1" applyBorder="1"/>
    <xf numFmtId="2" fontId="0" fillId="0" borderId="29" xfId="0" applyNumberFormat="1" applyBorder="1"/>
    <xf numFmtId="2" fontId="0" fillId="0" borderId="32" xfId="0" applyNumberFormat="1" applyBorder="1"/>
    <xf numFmtId="2" fontId="0" fillId="13" borderId="29" xfId="0" applyNumberFormat="1" applyFont="1" applyFill="1" applyBorder="1" applyAlignment="1"/>
    <xf numFmtId="2" fontId="0" fillId="14" borderId="31" xfId="0" applyNumberFormat="1" applyFont="1" applyFill="1" applyBorder="1" applyAlignment="1"/>
    <xf numFmtId="2" fontId="0" fillId="3" borderId="38" xfId="0" applyNumberFormat="1" applyFont="1" applyFill="1" applyBorder="1" applyAlignment="1"/>
    <xf numFmtId="2" fontId="0" fillId="14" borderId="44" xfId="0" applyNumberFormat="1" applyFont="1" applyFill="1" applyBorder="1" applyAlignment="1"/>
    <xf numFmtId="0" fontId="1" fillId="2" borderId="0" xfId="0" applyFont="1" applyFill="1" applyBorder="1" applyAlignment="1"/>
    <xf numFmtId="2" fontId="0" fillId="0" borderId="27" xfId="0" applyNumberFormat="1" applyBorder="1"/>
    <xf numFmtId="2" fontId="0" fillId="0" borderId="24" xfId="0" applyNumberFormat="1" applyFill="1" applyBorder="1" applyAlignment="1"/>
    <xf numFmtId="2" fontId="0" fillId="0" borderId="22" xfId="0" applyNumberFormat="1" applyBorder="1"/>
    <xf numFmtId="2" fontId="0" fillId="0" borderId="28" xfId="0" applyNumberFormat="1" applyBorder="1"/>
    <xf numFmtId="2" fontId="0" fillId="3" borderId="26" xfId="0" applyNumberFormat="1" applyFill="1" applyBorder="1" applyAlignment="1"/>
    <xf numFmtId="2" fontId="0" fillId="12" borderId="26" xfId="0" applyNumberFormat="1" applyFill="1" applyBorder="1" applyAlignment="1"/>
    <xf numFmtId="2" fontId="0" fillId="6" borderId="26" xfId="0" applyNumberFormat="1" applyFill="1" applyBorder="1" applyAlignment="1"/>
    <xf numFmtId="2" fontId="0" fillId="13" borderId="26" xfId="0" applyNumberFormat="1" applyFill="1" applyBorder="1" applyAlignment="1"/>
    <xf numFmtId="2" fontId="0" fillId="12" borderId="29" xfId="0" applyNumberFormat="1" applyFill="1" applyBorder="1" applyAlignment="1"/>
    <xf numFmtId="2" fontId="0" fillId="14" borderId="26" xfId="0" applyNumberFormat="1" applyFill="1" applyBorder="1" applyAlignment="1"/>
    <xf numFmtId="2" fontId="0" fillId="14" borderId="29" xfId="0" applyNumberFormat="1" applyFill="1" applyBorder="1" applyAlignment="1"/>
    <xf numFmtId="2" fontId="0" fillId="3" borderId="28" xfId="0" applyNumberFormat="1" applyFill="1" applyBorder="1" applyAlignment="1"/>
    <xf numFmtId="2" fontId="0" fillId="6" borderId="28" xfId="0" applyNumberFormat="1" applyFill="1" applyBorder="1" applyAlignment="1"/>
    <xf numFmtId="2" fontId="0" fillId="13" borderId="28" xfId="0" applyNumberFormat="1" applyFill="1" applyBorder="1" applyAlignment="1"/>
    <xf numFmtId="2" fontId="0" fillId="12" borderId="28" xfId="0" applyNumberFormat="1" applyFill="1" applyBorder="1" applyAlignment="1"/>
    <xf numFmtId="2" fontId="0" fillId="0" borderId="26" xfId="0" applyNumberFormat="1" applyFill="1" applyBorder="1" applyAlignment="1"/>
    <xf numFmtId="2" fontId="0" fillId="0" borderId="30" xfId="0" applyNumberFormat="1" applyBorder="1"/>
    <xf numFmtId="2" fontId="0" fillId="14" borderId="31" xfId="0" applyNumberFormat="1" applyFill="1" applyBorder="1" applyAlignment="1"/>
    <xf numFmtId="0" fontId="0" fillId="9" borderId="12" xfId="0" applyFill="1" applyBorder="1"/>
    <xf numFmtId="0" fontId="0" fillId="9" borderId="0" xfId="0" applyFill="1" applyBorder="1"/>
    <xf numFmtId="0" fontId="7" fillId="9" borderId="0" xfId="0" applyFont="1" applyFill="1" applyBorder="1" applyAlignment="1">
      <alignment horizontal="center"/>
    </xf>
    <xf numFmtId="0" fontId="7" fillId="9" borderId="0" xfId="0" applyFont="1" applyFill="1" applyBorder="1"/>
    <xf numFmtId="0" fontId="0" fillId="9" borderId="0" xfId="0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9" borderId="6" xfId="0" applyFont="1" applyFill="1" applyBorder="1" applyAlignment="1">
      <alignment vertical="center"/>
    </xf>
    <xf numFmtId="0" fontId="1" fillId="10" borderId="10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2" fontId="5" fillId="11" borderId="26" xfId="0" applyNumberFormat="1" applyFont="1" applyFill="1" applyBorder="1"/>
    <xf numFmtId="2" fontId="5" fillId="15" borderId="26" xfId="0" applyNumberFormat="1" applyFont="1" applyFill="1" applyBorder="1"/>
    <xf numFmtId="0" fontId="1" fillId="10" borderId="12" xfId="0" applyNumberFormat="1" applyFont="1" applyFill="1" applyBorder="1" applyAlignment="1">
      <alignment horizontal="center"/>
    </xf>
    <xf numFmtId="2" fontId="5" fillId="17" borderId="28" xfId="0" applyNumberFormat="1" applyFont="1" applyFill="1" applyBorder="1"/>
    <xf numFmtId="2" fontId="5" fillId="12" borderId="28" xfId="0" applyNumberFormat="1" applyFont="1" applyFill="1" applyBorder="1"/>
    <xf numFmtId="2" fontId="5" fillId="16" borderId="36" xfId="0" applyNumberFormat="1" applyFont="1" applyFill="1" applyBorder="1"/>
    <xf numFmtId="2" fontId="5" fillId="12" borderId="36" xfId="0" applyNumberFormat="1" applyFont="1" applyFill="1" applyBorder="1"/>
    <xf numFmtId="10" fontId="3" fillId="0" borderId="0" xfId="0" applyNumberFormat="1" applyFont="1" applyFill="1"/>
    <xf numFmtId="0" fontId="4" fillId="0" borderId="0" xfId="0" applyFont="1" applyFill="1"/>
    <xf numFmtId="10" fontId="5" fillId="0" borderId="0" xfId="0" applyNumberFormat="1" applyFont="1" applyFill="1"/>
    <xf numFmtId="10" fontId="0" fillId="0" borderId="32" xfId="0" applyNumberFormat="1" applyBorder="1"/>
    <xf numFmtId="2" fontId="5" fillId="0" borderId="30" xfId="0" applyNumberFormat="1" applyFont="1" applyFill="1" applyBorder="1" applyAlignment="1"/>
    <xf numFmtId="2" fontId="5" fillId="0" borderId="26" xfId="0" applyNumberFormat="1" applyFont="1" applyBorder="1"/>
    <xf numFmtId="2" fontId="5" fillId="0" borderId="31" xfId="0" applyNumberFormat="1" applyFont="1" applyBorder="1"/>
    <xf numFmtId="2" fontId="5" fillId="0" borderId="29" xfId="0" applyNumberFormat="1" applyFont="1" applyBorder="1"/>
    <xf numFmtId="2" fontId="5" fillId="0" borderId="32" xfId="0" applyNumberFormat="1" applyFont="1" applyBorder="1"/>
    <xf numFmtId="0" fontId="0" fillId="18" borderId="0" xfId="0" applyFill="1"/>
    <xf numFmtId="2" fontId="5" fillId="19" borderId="22" xfId="0" applyNumberFormat="1" applyFont="1" applyFill="1" applyBorder="1" applyAlignment="1"/>
    <xf numFmtId="2" fontId="5" fillId="19" borderId="29" xfId="0" applyNumberFormat="1" applyFont="1" applyFill="1" applyBorder="1" applyAlignment="1"/>
    <xf numFmtId="2" fontId="5" fillId="19" borderId="24" xfId="0" applyNumberFormat="1" applyFont="1" applyFill="1" applyBorder="1"/>
    <xf numFmtId="2" fontId="5" fillId="19" borderId="27" xfId="0" applyNumberFormat="1" applyFont="1" applyFill="1" applyBorder="1" applyAlignment="1"/>
    <xf numFmtId="2" fontId="5" fillId="19" borderId="28" xfId="0" applyNumberFormat="1" applyFont="1" applyFill="1" applyBorder="1" applyAlignment="1"/>
    <xf numFmtId="0" fontId="2" fillId="0" borderId="10" xfId="0" applyFont="1" applyBorder="1" applyAlignment="1"/>
    <xf numFmtId="0" fontId="2" fillId="0" borderId="23" xfId="0" applyFont="1" applyFill="1" applyBorder="1" applyAlignment="1"/>
    <xf numFmtId="0" fontId="2" fillId="0" borderId="47" xfId="0" applyFont="1" applyFill="1" applyBorder="1" applyAlignment="1"/>
    <xf numFmtId="0" fontId="1" fillId="7" borderId="2" xfId="0" applyFont="1" applyFill="1" applyBorder="1"/>
    <xf numFmtId="0" fontId="1" fillId="0" borderId="27" xfId="0" applyFont="1" applyBorder="1"/>
    <xf numFmtId="0" fontId="1" fillId="3" borderId="28" xfId="0" applyFont="1" applyFill="1" applyBorder="1" applyAlignment="1"/>
    <xf numFmtId="0" fontId="1" fillId="6" borderId="28" xfId="0" applyFont="1" applyFill="1" applyBorder="1" applyAlignment="1"/>
    <xf numFmtId="0" fontId="1" fillId="13" borderId="28" xfId="0" applyFont="1" applyFill="1" applyBorder="1" applyAlignment="1"/>
    <xf numFmtId="0" fontId="1" fillId="12" borderId="28" xfId="0" applyFont="1" applyFill="1" applyBorder="1" applyAlignment="1"/>
    <xf numFmtId="0" fontId="1" fillId="14" borderId="30" xfId="0" applyFont="1" applyFill="1" applyBorder="1" applyAlignment="1"/>
    <xf numFmtId="9" fontId="0" fillId="0" borderId="26" xfId="0" applyNumberFormat="1" applyBorder="1"/>
    <xf numFmtId="9" fontId="0" fillId="0" borderId="29" xfId="0" applyNumberFormat="1" applyBorder="1"/>
    <xf numFmtId="9" fontId="0" fillId="0" borderId="31" xfId="0" applyNumberFormat="1" applyBorder="1"/>
    <xf numFmtId="9" fontId="0" fillId="0" borderId="32" xfId="0" applyNumberFormat="1" applyBorder="1"/>
    <xf numFmtId="10" fontId="0" fillId="0" borderId="26" xfId="0" applyNumberFormat="1" applyBorder="1"/>
    <xf numFmtId="10" fontId="0" fillId="0" borderId="29" xfId="0" applyNumberFormat="1" applyBorder="1"/>
    <xf numFmtId="10" fontId="0" fillId="0" borderId="31" xfId="0" applyNumberFormat="1" applyBorder="1"/>
    <xf numFmtId="0" fontId="1" fillId="0" borderId="25" xfId="0" applyFont="1" applyBorder="1"/>
    <xf numFmtId="2" fontId="5" fillId="0" borderId="26" xfId="0" applyNumberFormat="1" applyFont="1" applyFill="1" applyBorder="1" applyAlignment="1"/>
    <xf numFmtId="2" fontId="5" fillId="19" borderId="24" xfId="0" applyNumberFormat="1" applyFont="1" applyFill="1" applyBorder="1" applyAlignment="1"/>
    <xf numFmtId="0" fontId="1" fillId="7" borderId="25" xfId="0" applyFont="1" applyFill="1" applyBorder="1" applyAlignment="1"/>
    <xf numFmtId="0" fontId="0" fillId="21" borderId="0" xfId="0" applyFill="1"/>
    <xf numFmtId="0" fontId="1" fillId="3" borderId="27" xfId="0" applyFont="1" applyFill="1" applyBorder="1" applyAlignment="1"/>
    <xf numFmtId="2" fontId="0" fillId="0" borderId="0" xfId="0" applyNumberFormat="1" applyFont="1" applyFill="1" applyBorder="1"/>
    <xf numFmtId="0" fontId="1" fillId="14" borderId="48" xfId="0" applyFont="1" applyFill="1" applyBorder="1" applyAlignment="1"/>
    <xf numFmtId="2" fontId="0" fillId="0" borderId="49" xfId="0" applyNumberFormat="1" applyFont="1" applyBorder="1"/>
    <xf numFmtId="2" fontId="0" fillId="0" borderId="42" xfId="0" applyNumberFormat="1" applyBorder="1"/>
    <xf numFmtId="0" fontId="1" fillId="2" borderId="12" xfId="0" applyFont="1" applyFill="1" applyBorder="1" applyAlignment="1">
      <alignment vertical="center"/>
    </xf>
    <xf numFmtId="10" fontId="3" fillId="5" borderId="4" xfId="0" applyNumberFormat="1" applyFont="1" applyFill="1" applyBorder="1" applyAlignment="1">
      <alignment vertical="center"/>
    </xf>
    <xf numFmtId="10" fontId="3" fillId="5" borderId="5" xfId="0" applyNumberFormat="1" applyFont="1" applyFill="1" applyBorder="1" applyAlignment="1">
      <alignment vertical="center"/>
    </xf>
    <xf numFmtId="10" fontId="3" fillId="5" borderId="7" xfId="0" applyNumberFormat="1" applyFont="1" applyFill="1" applyBorder="1" applyAlignment="1">
      <alignment vertical="center"/>
    </xf>
    <xf numFmtId="10" fontId="5" fillId="7" borderId="2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vertical="center"/>
    </xf>
    <xf numFmtId="10" fontId="5" fillId="0" borderId="71" xfId="0" applyNumberFormat="1" applyFont="1" applyBorder="1" applyAlignment="1">
      <alignment vertical="center"/>
    </xf>
    <xf numFmtId="10" fontId="5" fillId="0" borderId="72" xfId="0" applyNumberFormat="1" applyFont="1" applyBorder="1" applyAlignment="1">
      <alignment vertical="center"/>
    </xf>
    <xf numFmtId="10" fontId="5" fillId="0" borderId="73" xfId="0" applyNumberFormat="1" applyFont="1" applyBorder="1" applyAlignment="1">
      <alignment vertical="center"/>
    </xf>
    <xf numFmtId="0" fontId="0" fillId="18" borderId="0" xfId="0" applyFill="1" applyBorder="1"/>
    <xf numFmtId="0" fontId="9" fillId="18" borderId="0" xfId="0" applyFont="1" applyFill="1" applyBorder="1" applyAlignment="1"/>
    <xf numFmtId="0" fontId="9" fillId="18" borderId="0" xfId="0" applyFont="1" applyFill="1" applyBorder="1" applyAlignment="1">
      <alignment horizontal="center"/>
    </xf>
    <xf numFmtId="0" fontId="10" fillId="18" borderId="0" xfId="0" applyFont="1" applyFill="1" applyBorder="1"/>
    <xf numFmtId="0" fontId="15" fillId="18" borderId="0" xfId="0" applyFont="1" applyFill="1" applyBorder="1" applyAlignment="1">
      <alignment vertical="center"/>
    </xf>
    <xf numFmtId="0" fontId="0" fillId="18" borderId="0" xfId="0" applyFill="1" applyBorder="1" applyAlignment="1">
      <alignment horizontal="center"/>
    </xf>
    <xf numFmtId="0" fontId="7" fillId="18" borderId="0" xfId="0" applyFont="1" applyFill="1" applyBorder="1" applyAlignment="1">
      <alignment horizontal="center" vertical="center"/>
    </xf>
    <xf numFmtId="10" fontId="7" fillId="18" borderId="0" xfId="0" applyNumberFormat="1" applyFont="1" applyFill="1" applyBorder="1" applyAlignment="1">
      <alignment horizontal="center" vertical="center"/>
    </xf>
    <xf numFmtId="2" fontId="1" fillId="18" borderId="0" xfId="0" applyNumberFormat="1" applyFont="1" applyFill="1" applyBorder="1" applyAlignment="1"/>
    <xf numFmtId="0" fontId="0" fillId="18" borderId="0" xfId="0" applyFont="1" applyFill="1" applyBorder="1"/>
    <xf numFmtId="2" fontId="11" fillId="18" borderId="0" xfId="0" applyNumberFormat="1" applyFont="1" applyFill="1" applyBorder="1" applyAlignment="1"/>
    <xf numFmtId="0" fontId="0" fillId="18" borderId="5" xfId="0" applyFill="1" applyBorder="1"/>
    <xf numFmtId="0" fontId="7" fillId="18" borderId="0" xfId="0" applyFont="1" applyFill="1" applyBorder="1" applyAlignment="1">
      <alignment vertical="center"/>
    </xf>
    <xf numFmtId="0" fontId="0" fillId="18" borderId="0" xfId="0" applyFill="1" applyAlignment="1">
      <alignment vertical="center"/>
    </xf>
    <xf numFmtId="10" fontId="0" fillId="18" borderId="0" xfId="0" quotePrefix="1" applyNumberFormat="1" applyFill="1" applyAlignment="1">
      <alignment vertical="center"/>
    </xf>
    <xf numFmtId="2" fontId="0" fillId="18" borderId="0" xfId="0" applyNumberFormat="1" applyFill="1" applyAlignment="1">
      <alignment vertical="center"/>
    </xf>
    <xf numFmtId="0" fontId="0" fillId="18" borderId="0" xfId="0" quotePrefix="1" applyFont="1" applyFill="1" applyAlignment="1">
      <alignment vertical="center"/>
    </xf>
    <xf numFmtId="0" fontId="0" fillId="18" borderId="0" xfId="0" quotePrefix="1" applyFill="1" applyAlignment="1">
      <alignment vertical="center"/>
    </xf>
    <xf numFmtId="10" fontId="1" fillId="18" borderId="0" xfId="0" applyNumberFormat="1" applyFont="1" applyFill="1" applyAlignment="1">
      <alignment vertical="center"/>
    </xf>
    <xf numFmtId="0" fontId="1" fillId="18" borderId="0" xfId="0" applyFont="1" applyFill="1" applyAlignment="1">
      <alignment vertical="center"/>
    </xf>
    <xf numFmtId="0" fontId="0" fillId="9" borderId="55" xfId="0" applyFill="1" applyBorder="1"/>
    <xf numFmtId="0" fontId="0" fillId="9" borderId="54" xfId="0" applyFill="1" applyBorder="1"/>
    <xf numFmtId="0" fontId="0" fillId="9" borderId="54" xfId="0" applyFill="1" applyBorder="1" applyAlignment="1">
      <alignment vertical="center"/>
    </xf>
    <xf numFmtId="0" fontId="0" fillId="9" borderId="83" xfId="0" applyFill="1" applyBorder="1"/>
    <xf numFmtId="0" fontId="7" fillId="9" borderId="54" xfId="0" applyFont="1" applyFill="1" applyBorder="1"/>
    <xf numFmtId="0" fontId="7" fillId="9" borderId="54" xfId="0" applyFont="1" applyFill="1" applyBorder="1" applyAlignment="1">
      <alignment vertical="center"/>
    </xf>
    <xf numFmtId="0" fontId="7" fillId="9" borderId="56" xfId="0" applyFont="1" applyFill="1" applyBorder="1" applyAlignment="1">
      <alignment vertical="center"/>
    </xf>
    <xf numFmtId="0" fontId="0" fillId="9" borderId="57" xfId="0" applyFill="1" applyBorder="1"/>
    <xf numFmtId="10" fontId="6" fillId="9" borderId="58" xfId="0" applyNumberFormat="1" applyFont="1" applyFill="1" applyBorder="1" applyAlignment="1">
      <alignment horizontal="center" vertical="center"/>
    </xf>
    <xf numFmtId="10" fontId="7" fillId="9" borderId="58" xfId="0" applyNumberFormat="1" applyFont="1" applyFill="1" applyBorder="1" applyAlignment="1">
      <alignment vertical="center"/>
    </xf>
    <xf numFmtId="0" fontId="0" fillId="9" borderId="64" xfId="0" applyFill="1" applyBorder="1"/>
    <xf numFmtId="10" fontId="0" fillId="9" borderId="58" xfId="0" applyNumberFormat="1" applyFill="1" applyBorder="1" applyAlignment="1">
      <alignment vertical="center"/>
    </xf>
    <xf numFmtId="0" fontId="7" fillId="8" borderId="57" xfId="0" applyFont="1" applyFill="1" applyBorder="1" applyAlignment="1">
      <alignment vertical="center"/>
    </xf>
    <xf numFmtId="2" fontId="8" fillId="8" borderId="57" xfId="0" applyNumberFormat="1" applyFont="1" applyFill="1" applyBorder="1" applyAlignment="1">
      <alignment horizontal="center" vertical="center"/>
    </xf>
    <xf numFmtId="0" fontId="7" fillId="8" borderId="59" xfId="0" applyFont="1" applyFill="1" applyBorder="1" applyAlignment="1">
      <alignment vertical="center"/>
    </xf>
    <xf numFmtId="0" fontId="7" fillId="8" borderId="74" xfId="0" applyFont="1" applyFill="1" applyBorder="1" applyAlignment="1">
      <alignment vertical="center"/>
    </xf>
    <xf numFmtId="0" fontId="0" fillId="9" borderId="74" xfId="0" applyFill="1" applyBorder="1"/>
    <xf numFmtId="0" fontId="0" fillId="9" borderId="74" xfId="0" applyFill="1" applyBorder="1" applyAlignment="1">
      <alignment horizontal="center"/>
    </xf>
    <xf numFmtId="0" fontId="0" fillId="9" borderId="74" xfId="0" applyFill="1" applyBorder="1" applyAlignment="1">
      <alignment vertical="center"/>
    </xf>
    <xf numFmtId="0" fontId="0" fillId="9" borderId="60" xfId="0" applyFill="1" applyBorder="1" applyAlignment="1">
      <alignment vertical="center"/>
    </xf>
    <xf numFmtId="0" fontId="3" fillId="3" borderId="61" xfId="0" applyFont="1" applyFill="1" applyBorder="1" applyAlignment="1">
      <alignment vertical="center"/>
    </xf>
    <xf numFmtId="0" fontId="3" fillId="3" borderId="62" xfId="0" applyFont="1" applyFill="1" applyBorder="1" applyAlignment="1">
      <alignment vertical="center"/>
    </xf>
    <xf numFmtId="0" fontId="3" fillId="3" borderId="63" xfId="0" applyFont="1" applyFill="1" applyBorder="1" applyAlignment="1">
      <alignment vertical="center"/>
    </xf>
    <xf numFmtId="2" fontId="3" fillId="4" borderId="61" xfId="0" applyNumberFormat="1" applyFont="1" applyFill="1" applyBorder="1" applyAlignment="1">
      <alignment vertical="center"/>
    </xf>
    <xf numFmtId="2" fontId="3" fillId="4" borderId="62" xfId="0" applyNumberFormat="1" applyFont="1" applyFill="1" applyBorder="1" applyAlignment="1">
      <alignment vertical="center"/>
    </xf>
    <xf numFmtId="2" fontId="3" fillId="4" borderId="63" xfId="0" applyNumberFormat="1" applyFont="1" applyFill="1" applyBorder="1" applyAlignment="1">
      <alignment vertical="center"/>
    </xf>
    <xf numFmtId="0" fontId="1" fillId="2" borderId="61" xfId="0" applyFont="1" applyFill="1" applyBorder="1" applyAlignment="1">
      <alignment vertical="center"/>
    </xf>
    <xf numFmtId="2" fontId="3" fillId="4" borderId="84" xfId="0" applyNumberFormat="1" applyFont="1" applyFill="1" applyBorder="1" applyAlignment="1">
      <alignment vertical="center"/>
    </xf>
    <xf numFmtId="2" fontId="5" fillId="6" borderId="50" xfId="0" applyNumberFormat="1" applyFont="1" applyFill="1" applyBorder="1" applyAlignment="1">
      <alignment vertical="center"/>
    </xf>
    <xf numFmtId="2" fontId="1" fillId="6" borderId="50" xfId="0" applyNumberFormat="1" applyFont="1" applyFill="1" applyBorder="1" applyAlignment="1">
      <alignment vertical="center"/>
    </xf>
    <xf numFmtId="0" fontId="21" fillId="18" borderId="0" xfId="0" applyFont="1" applyFill="1"/>
    <xf numFmtId="0" fontId="1" fillId="18" borderId="0" xfId="0" applyFont="1" applyFill="1" applyBorder="1"/>
    <xf numFmtId="2" fontId="0" fillId="18" borderId="0" xfId="0" applyNumberFormat="1" applyFill="1" applyBorder="1"/>
    <xf numFmtId="0" fontId="1" fillId="18" borderId="0" xfId="0" quotePrefix="1" applyFont="1" applyFill="1" applyBorder="1" applyAlignment="1"/>
    <xf numFmtId="0" fontId="1" fillId="18" borderId="0" xfId="0" applyFont="1" applyFill="1" applyBorder="1" applyAlignment="1"/>
    <xf numFmtId="0" fontId="0" fillId="18" borderId="0" xfId="0" applyNumberFormat="1" applyFont="1" applyFill="1" applyBorder="1" applyAlignment="1"/>
    <xf numFmtId="3" fontId="0" fillId="0" borderId="26" xfId="0" applyNumberFormat="1" applyBorder="1"/>
    <xf numFmtId="3" fontId="0" fillId="0" borderId="31" xfId="0" applyNumberFormat="1" applyBorder="1"/>
    <xf numFmtId="0" fontId="24" fillId="21" borderId="0" xfId="0" applyFont="1" applyFill="1" applyAlignment="1"/>
    <xf numFmtId="0" fontId="1" fillId="15" borderId="18" xfId="0" applyFont="1" applyFill="1" applyBorder="1" applyAlignment="1"/>
    <xf numFmtId="0" fontId="1" fillId="15" borderId="19" xfId="0" applyFont="1" applyFill="1" applyBorder="1" applyAlignment="1"/>
    <xf numFmtId="0" fontId="1" fillId="15" borderId="20" xfId="0" applyFont="1" applyFill="1" applyBorder="1" applyAlignment="1"/>
    <xf numFmtId="9" fontId="0" fillId="0" borderId="0" xfId="0" applyNumberFormat="1" applyFill="1" applyBorder="1"/>
    <xf numFmtId="0" fontId="1" fillId="2" borderId="1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0" fillId="30" borderId="10" xfId="0" applyFont="1" applyFill="1" applyBorder="1" applyAlignment="1">
      <alignment horizontal="center" vertical="center"/>
    </xf>
    <xf numFmtId="0" fontId="20" fillId="30" borderId="3" xfId="0" applyFont="1" applyFill="1" applyBorder="1" applyAlignment="1">
      <alignment horizontal="center" vertical="center"/>
    </xf>
    <xf numFmtId="0" fontId="20" fillId="30" borderId="11" xfId="0" applyFont="1" applyFill="1" applyBorder="1" applyAlignment="1">
      <alignment horizontal="center" vertical="center"/>
    </xf>
    <xf numFmtId="0" fontId="20" fillId="30" borderId="12" xfId="0" applyFont="1" applyFill="1" applyBorder="1" applyAlignment="1">
      <alignment horizontal="center" vertical="center"/>
    </xf>
    <xf numFmtId="0" fontId="20" fillId="30" borderId="0" xfId="0" applyFont="1" applyFill="1" applyBorder="1" applyAlignment="1">
      <alignment horizontal="center" vertical="center"/>
    </xf>
    <xf numFmtId="0" fontId="20" fillId="30" borderId="1" xfId="0" applyFont="1" applyFill="1" applyBorder="1" applyAlignment="1">
      <alignment horizontal="center" vertical="center"/>
    </xf>
    <xf numFmtId="0" fontId="20" fillId="30" borderId="13" xfId="0" applyFont="1" applyFill="1" applyBorder="1" applyAlignment="1">
      <alignment horizontal="center" vertical="center"/>
    </xf>
    <xf numFmtId="0" fontId="20" fillId="30" borderId="6" xfId="0" applyFont="1" applyFill="1" applyBorder="1" applyAlignment="1">
      <alignment horizontal="center" vertical="center"/>
    </xf>
    <xf numFmtId="0" fontId="20" fillId="30" borderId="14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3" fillId="11" borderId="4" xfId="0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 vertical="center"/>
    </xf>
    <xf numFmtId="0" fontId="13" fillId="11" borderId="5" xfId="0" applyFont="1" applyFill="1" applyBorder="1" applyAlignment="1">
      <alignment horizontal="center" vertical="center"/>
    </xf>
    <xf numFmtId="0" fontId="13" fillId="11" borderId="6" xfId="0" applyFont="1" applyFill="1" applyBorder="1" applyAlignment="1">
      <alignment horizontal="center" vertical="center"/>
    </xf>
    <xf numFmtId="0" fontId="13" fillId="11" borderId="7" xfId="0" applyFont="1" applyFill="1" applyBorder="1" applyAlignment="1">
      <alignment horizontal="center" vertical="center"/>
    </xf>
    <xf numFmtId="10" fontId="9" fillId="24" borderId="23" xfId="0" applyNumberFormat="1" applyFont="1" applyFill="1" applyBorder="1" applyAlignment="1">
      <alignment horizontal="center" vertical="center"/>
    </xf>
    <xf numFmtId="10" fontId="9" fillId="24" borderId="4" xfId="0" applyNumberFormat="1" applyFont="1" applyFill="1" applyBorder="1" applyAlignment="1">
      <alignment horizontal="center" vertical="center"/>
    </xf>
    <xf numFmtId="10" fontId="9" fillId="24" borderId="8" xfId="0" applyNumberFormat="1" applyFont="1" applyFill="1" applyBorder="1" applyAlignment="1">
      <alignment horizontal="center" vertical="center"/>
    </xf>
    <xf numFmtId="10" fontId="9" fillId="24" borderId="5" xfId="0" applyNumberFormat="1" applyFont="1" applyFill="1" applyBorder="1" applyAlignment="1">
      <alignment horizontal="center" vertical="center"/>
    </xf>
    <xf numFmtId="10" fontId="9" fillId="24" borderId="9" xfId="0" applyNumberFormat="1" applyFont="1" applyFill="1" applyBorder="1" applyAlignment="1">
      <alignment horizontal="center" vertical="center"/>
    </xf>
    <xf numFmtId="10" fontId="9" fillId="24" borderId="7" xfId="0" applyNumberFormat="1" applyFont="1" applyFill="1" applyBorder="1" applyAlignment="1">
      <alignment horizontal="center" vertical="center"/>
    </xf>
    <xf numFmtId="0" fontId="17" fillId="30" borderId="10" xfId="0" applyFont="1" applyFill="1" applyBorder="1" applyAlignment="1">
      <alignment horizontal="center" vertical="center"/>
    </xf>
    <xf numFmtId="0" fontId="17" fillId="30" borderId="3" xfId="0" applyFont="1" applyFill="1" applyBorder="1" applyAlignment="1">
      <alignment horizontal="center" vertical="center"/>
    </xf>
    <xf numFmtId="0" fontId="17" fillId="30" borderId="11" xfId="0" applyFont="1" applyFill="1" applyBorder="1" applyAlignment="1">
      <alignment horizontal="center" vertical="center"/>
    </xf>
    <xf numFmtId="0" fontId="17" fillId="30" borderId="12" xfId="0" applyFont="1" applyFill="1" applyBorder="1" applyAlignment="1">
      <alignment horizontal="center" vertical="center"/>
    </xf>
    <xf numFmtId="0" fontId="17" fillId="30" borderId="0" xfId="0" applyFont="1" applyFill="1" applyBorder="1" applyAlignment="1">
      <alignment horizontal="center" vertical="center"/>
    </xf>
    <xf numFmtId="0" fontId="17" fillId="30" borderId="1" xfId="0" applyFont="1" applyFill="1" applyBorder="1" applyAlignment="1">
      <alignment horizontal="center" vertical="center"/>
    </xf>
    <xf numFmtId="0" fontId="17" fillId="30" borderId="13" xfId="0" applyFont="1" applyFill="1" applyBorder="1" applyAlignment="1">
      <alignment horizontal="center" vertical="center"/>
    </xf>
    <xf numFmtId="0" fontId="17" fillId="30" borderId="6" xfId="0" applyFont="1" applyFill="1" applyBorder="1" applyAlignment="1">
      <alignment horizontal="center" vertical="center"/>
    </xf>
    <xf numFmtId="0" fontId="17" fillId="30" borderId="14" xfId="0" applyFont="1" applyFill="1" applyBorder="1" applyAlignment="1">
      <alignment horizontal="center" vertical="center"/>
    </xf>
    <xf numFmtId="0" fontId="5" fillId="7" borderId="51" xfId="0" applyFont="1" applyFill="1" applyBorder="1" applyAlignment="1">
      <alignment horizontal="center"/>
    </xf>
    <xf numFmtId="0" fontId="5" fillId="7" borderId="52" xfId="0" applyFont="1" applyFill="1" applyBorder="1" applyAlignment="1">
      <alignment horizontal="center"/>
    </xf>
    <xf numFmtId="0" fontId="5" fillId="7" borderId="53" xfId="0" applyFont="1" applyFill="1" applyBorder="1" applyAlignment="1">
      <alignment horizontal="center"/>
    </xf>
    <xf numFmtId="2" fontId="8" fillId="9" borderId="81" xfId="0" applyNumberFormat="1" applyFont="1" applyFill="1" applyBorder="1" applyAlignment="1">
      <alignment horizontal="center" vertical="center"/>
    </xf>
    <xf numFmtId="2" fontId="8" fillId="9" borderId="56" xfId="0" applyNumberFormat="1" applyFont="1" applyFill="1" applyBorder="1" applyAlignment="1">
      <alignment horizontal="center" vertical="center"/>
    </xf>
    <xf numFmtId="2" fontId="8" fillId="9" borderId="8" xfId="0" applyNumberFormat="1" applyFont="1" applyFill="1" applyBorder="1" applyAlignment="1">
      <alignment horizontal="center" vertical="center"/>
    </xf>
    <xf numFmtId="2" fontId="8" fillId="9" borderId="58" xfId="0" applyNumberFormat="1" applyFont="1" applyFill="1" applyBorder="1" applyAlignment="1">
      <alignment horizontal="center" vertical="center"/>
    </xf>
    <xf numFmtId="2" fontId="8" fillId="9" borderId="82" xfId="0" applyNumberFormat="1" applyFont="1" applyFill="1" applyBorder="1" applyAlignment="1">
      <alignment horizontal="center" vertical="center"/>
    </xf>
    <xf numFmtId="2" fontId="8" fillId="9" borderId="60" xfId="0" applyNumberFormat="1" applyFont="1" applyFill="1" applyBorder="1" applyAlignment="1">
      <alignment horizontal="center" vertical="center"/>
    </xf>
    <xf numFmtId="0" fontId="18" fillId="30" borderId="10" xfId="0" applyFont="1" applyFill="1" applyBorder="1" applyAlignment="1">
      <alignment horizontal="center" vertical="center"/>
    </xf>
    <xf numFmtId="0" fontId="18" fillId="30" borderId="3" xfId="0" applyFont="1" applyFill="1" applyBorder="1" applyAlignment="1">
      <alignment horizontal="center" vertical="center"/>
    </xf>
    <xf numFmtId="0" fontId="18" fillId="30" borderId="11" xfId="0" applyFont="1" applyFill="1" applyBorder="1" applyAlignment="1">
      <alignment horizontal="center" vertical="center"/>
    </xf>
    <xf numFmtId="0" fontId="18" fillId="30" borderId="12" xfId="0" applyFont="1" applyFill="1" applyBorder="1" applyAlignment="1">
      <alignment horizontal="center" vertical="center"/>
    </xf>
    <xf numFmtId="0" fontId="18" fillId="30" borderId="0" xfId="0" applyFont="1" applyFill="1" applyBorder="1" applyAlignment="1">
      <alignment horizontal="center" vertical="center"/>
    </xf>
    <xf numFmtId="0" fontId="18" fillId="30" borderId="1" xfId="0" applyFont="1" applyFill="1" applyBorder="1" applyAlignment="1">
      <alignment horizontal="center" vertical="center"/>
    </xf>
    <xf numFmtId="0" fontId="18" fillId="30" borderId="13" xfId="0" applyFont="1" applyFill="1" applyBorder="1" applyAlignment="1">
      <alignment horizontal="center" vertical="center"/>
    </xf>
    <xf numFmtId="0" fontId="18" fillId="30" borderId="6" xfId="0" applyFont="1" applyFill="1" applyBorder="1" applyAlignment="1">
      <alignment horizontal="center" vertical="center"/>
    </xf>
    <xf numFmtId="0" fontId="18" fillId="30" borderId="14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0" fontId="19" fillId="30" borderId="3" xfId="0" applyFont="1" applyFill="1" applyBorder="1" applyAlignment="1">
      <alignment horizontal="center" vertical="center"/>
    </xf>
    <xf numFmtId="0" fontId="19" fillId="30" borderId="11" xfId="0" applyFont="1" applyFill="1" applyBorder="1" applyAlignment="1">
      <alignment horizontal="center" vertical="center"/>
    </xf>
    <xf numFmtId="0" fontId="19" fillId="30" borderId="12" xfId="0" applyFont="1" applyFill="1" applyBorder="1" applyAlignment="1">
      <alignment horizontal="center" vertical="center"/>
    </xf>
    <xf numFmtId="0" fontId="19" fillId="30" borderId="0" xfId="0" applyFont="1" applyFill="1" applyBorder="1" applyAlignment="1">
      <alignment horizontal="center" vertical="center"/>
    </xf>
    <xf numFmtId="0" fontId="19" fillId="30" borderId="1" xfId="0" applyFont="1" applyFill="1" applyBorder="1" applyAlignment="1">
      <alignment horizontal="center" vertical="center"/>
    </xf>
    <xf numFmtId="0" fontId="19" fillId="30" borderId="13" xfId="0" applyFont="1" applyFill="1" applyBorder="1" applyAlignment="1">
      <alignment horizontal="center" vertical="center"/>
    </xf>
    <xf numFmtId="0" fontId="19" fillId="30" borderId="6" xfId="0" applyFont="1" applyFill="1" applyBorder="1" applyAlignment="1">
      <alignment horizontal="center" vertical="center"/>
    </xf>
    <xf numFmtId="0" fontId="19" fillId="30" borderId="14" xfId="0" applyFont="1" applyFill="1" applyBorder="1" applyAlignment="1">
      <alignment horizontal="center" vertical="center"/>
    </xf>
    <xf numFmtId="0" fontId="22" fillId="9" borderId="55" xfId="0" applyFont="1" applyFill="1" applyBorder="1" applyAlignment="1">
      <alignment horizontal="left" vertical="center"/>
    </xf>
    <xf numFmtId="0" fontId="22" fillId="9" borderId="54" xfId="0" applyFont="1" applyFill="1" applyBorder="1" applyAlignment="1">
      <alignment horizontal="left" vertical="center"/>
    </xf>
    <xf numFmtId="0" fontId="22" fillId="9" borderId="69" xfId="0" applyFont="1" applyFill="1" applyBorder="1" applyAlignment="1">
      <alignment horizontal="left" vertical="center"/>
    </xf>
    <xf numFmtId="0" fontId="22" fillId="9" borderId="57" xfId="0" applyFont="1" applyFill="1" applyBorder="1" applyAlignment="1">
      <alignment horizontal="center" vertical="center"/>
    </xf>
    <xf numFmtId="0" fontId="22" fillId="9" borderId="0" xfId="0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/>
    </xf>
    <xf numFmtId="0" fontId="22" fillId="9" borderId="59" xfId="0" applyFont="1" applyFill="1" applyBorder="1" applyAlignment="1">
      <alignment horizontal="right" vertical="center"/>
    </xf>
    <xf numFmtId="0" fontId="22" fillId="9" borderId="74" xfId="0" applyFont="1" applyFill="1" applyBorder="1" applyAlignment="1">
      <alignment horizontal="right" vertical="center"/>
    </xf>
    <xf numFmtId="0" fontId="22" fillId="9" borderId="70" xfId="0" applyFont="1" applyFill="1" applyBorder="1" applyAlignment="1">
      <alignment horizontal="right" vertical="center"/>
    </xf>
    <xf numFmtId="0" fontId="1" fillId="30" borderId="77" xfId="0" applyFont="1" applyFill="1" applyBorder="1" applyAlignment="1">
      <alignment horizontal="left" vertical="center"/>
    </xf>
    <xf numFmtId="0" fontId="1" fillId="30" borderId="78" xfId="0" applyFont="1" applyFill="1" applyBorder="1" applyAlignment="1">
      <alignment horizontal="left" vertical="center"/>
    </xf>
    <xf numFmtId="0" fontId="1" fillId="30" borderId="75" xfId="0" applyFont="1" applyFill="1" applyBorder="1" applyAlignment="1">
      <alignment horizontal="left" vertical="center"/>
    </xf>
    <xf numFmtId="0" fontId="1" fillId="30" borderId="76" xfId="0" applyFont="1" applyFill="1" applyBorder="1" applyAlignment="1">
      <alignment horizontal="left" vertical="center"/>
    </xf>
    <xf numFmtId="0" fontId="1" fillId="30" borderId="79" xfId="0" applyFont="1" applyFill="1" applyBorder="1" applyAlignment="1">
      <alignment horizontal="left" vertical="center"/>
    </xf>
    <xf numFmtId="0" fontId="1" fillId="30" borderId="80" xfId="0" applyFont="1" applyFill="1" applyBorder="1" applyAlignment="1">
      <alignment horizontal="left" vertical="center"/>
    </xf>
    <xf numFmtId="0" fontId="15" fillId="30" borderId="51" xfId="0" applyFont="1" applyFill="1" applyBorder="1" applyAlignment="1">
      <alignment horizontal="center" vertical="center"/>
    </xf>
    <xf numFmtId="0" fontId="15" fillId="30" borderId="52" xfId="0" applyFont="1" applyFill="1" applyBorder="1" applyAlignment="1">
      <alignment horizontal="center" vertical="center"/>
    </xf>
    <xf numFmtId="0" fontId="15" fillId="30" borderId="53" xfId="0" applyFont="1" applyFill="1" applyBorder="1" applyAlignment="1">
      <alignment horizontal="center" vertical="center"/>
    </xf>
    <xf numFmtId="0" fontId="14" fillId="30" borderId="52" xfId="0" applyFont="1" applyFill="1" applyBorder="1" applyAlignment="1">
      <alignment horizontal="center" vertical="center"/>
    </xf>
    <xf numFmtId="0" fontId="14" fillId="30" borderId="53" xfId="0" applyFont="1" applyFill="1" applyBorder="1" applyAlignment="1">
      <alignment horizontal="center" vertical="center"/>
    </xf>
    <xf numFmtId="0" fontId="0" fillId="25" borderId="51" xfId="0" applyFill="1" applyBorder="1" applyAlignment="1">
      <alignment horizontal="center"/>
    </xf>
    <xf numFmtId="0" fontId="0" fillId="25" borderId="53" xfId="0" applyFill="1" applyBorder="1" applyAlignment="1">
      <alignment horizontal="center"/>
    </xf>
    <xf numFmtId="0" fontId="10" fillId="29" borderId="51" xfId="0" applyFont="1" applyFill="1" applyBorder="1" applyAlignment="1">
      <alignment horizontal="center"/>
    </xf>
    <xf numFmtId="0" fontId="10" fillId="29" borderId="53" xfId="0" applyFont="1" applyFill="1" applyBorder="1" applyAlignment="1">
      <alignment horizontal="center"/>
    </xf>
    <xf numFmtId="0" fontId="9" fillId="26" borderId="51" xfId="0" applyFont="1" applyFill="1" applyBorder="1" applyAlignment="1">
      <alignment horizontal="center"/>
    </xf>
    <xf numFmtId="0" fontId="9" fillId="26" borderId="53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19" xfId="0" applyFont="1" applyFill="1" applyBorder="1" applyAlignment="1">
      <alignment horizontal="center"/>
    </xf>
    <xf numFmtId="0" fontId="1" fillId="20" borderId="20" xfId="0" applyFont="1" applyFill="1" applyBorder="1" applyAlignment="1">
      <alignment horizontal="center"/>
    </xf>
    <xf numFmtId="0" fontId="0" fillId="19" borderId="43" xfId="0" applyFill="1" applyBorder="1" applyAlignment="1">
      <alignment horizontal="center"/>
    </xf>
    <xf numFmtId="0" fontId="0" fillId="19" borderId="35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23" borderId="18" xfId="0" applyFont="1" applyFill="1" applyBorder="1" applyAlignment="1">
      <alignment horizontal="center"/>
    </xf>
    <xf numFmtId="0" fontId="1" fillId="23" borderId="19" xfId="0" applyFont="1" applyFill="1" applyBorder="1" applyAlignment="1">
      <alignment horizontal="center"/>
    </xf>
    <xf numFmtId="0" fontId="1" fillId="23" borderId="20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1" fillId="22" borderId="66" xfId="0" quotePrefix="1" applyFont="1" applyFill="1" applyBorder="1" applyAlignment="1">
      <alignment horizontal="center"/>
    </xf>
    <xf numFmtId="0" fontId="1" fillId="22" borderId="67" xfId="0" quotePrefix="1" applyFont="1" applyFill="1" applyBorder="1" applyAlignment="1">
      <alignment horizontal="center"/>
    </xf>
    <xf numFmtId="0" fontId="1" fillId="22" borderId="68" xfId="0" quotePrefix="1" applyFont="1" applyFill="1" applyBorder="1" applyAlignment="1">
      <alignment horizontal="center"/>
    </xf>
    <xf numFmtId="0" fontId="1" fillId="27" borderId="51" xfId="0" applyFont="1" applyFill="1" applyBorder="1" applyAlignment="1">
      <alignment horizontal="center"/>
    </xf>
    <xf numFmtId="0" fontId="1" fillId="27" borderId="52" xfId="0" applyFont="1" applyFill="1" applyBorder="1" applyAlignment="1">
      <alignment horizontal="center"/>
    </xf>
    <xf numFmtId="0" fontId="1" fillId="27" borderId="53" xfId="0" applyFont="1" applyFill="1" applyBorder="1" applyAlignment="1">
      <alignment horizontal="center"/>
    </xf>
    <xf numFmtId="10" fontId="12" fillId="9" borderId="55" xfId="0" applyNumberFormat="1" applyFont="1" applyFill="1" applyBorder="1" applyAlignment="1">
      <alignment horizontal="center" vertical="center"/>
    </xf>
    <xf numFmtId="10" fontId="12" fillId="9" borderId="56" xfId="0" applyNumberFormat="1" applyFont="1" applyFill="1" applyBorder="1" applyAlignment="1">
      <alignment horizontal="center" vertical="center"/>
    </xf>
    <xf numFmtId="10" fontId="12" fillId="9" borderId="57" xfId="0" applyNumberFormat="1" applyFont="1" applyFill="1" applyBorder="1" applyAlignment="1">
      <alignment horizontal="center" vertical="center"/>
    </xf>
    <xf numFmtId="10" fontId="12" fillId="9" borderId="58" xfId="0" applyNumberFormat="1" applyFont="1" applyFill="1" applyBorder="1" applyAlignment="1">
      <alignment horizontal="center" vertical="center"/>
    </xf>
    <xf numFmtId="10" fontId="12" fillId="9" borderId="64" xfId="0" applyNumberFormat="1" applyFont="1" applyFill="1" applyBorder="1" applyAlignment="1">
      <alignment horizontal="center" vertical="center"/>
    </xf>
    <xf numFmtId="10" fontId="12" fillId="9" borderId="65" xfId="0" applyNumberFormat="1" applyFont="1" applyFill="1" applyBorder="1" applyAlignment="1">
      <alignment horizontal="center" vertical="center"/>
    </xf>
    <xf numFmtId="0" fontId="1" fillId="22" borderId="13" xfId="0" quotePrefix="1" applyFont="1" applyFill="1" applyBorder="1" applyAlignment="1">
      <alignment horizontal="center"/>
    </xf>
    <xf numFmtId="0" fontId="1" fillId="22" borderId="6" xfId="0" quotePrefix="1" applyFont="1" applyFill="1" applyBorder="1" applyAlignment="1">
      <alignment horizontal="center"/>
    </xf>
    <xf numFmtId="0" fontId="1" fillId="22" borderId="7" xfId="0" quotePrefix="1" applyFont="1" applyFill="1" applyBorder="1" applyAlignment="1">
      <alignment horizontal="center"/>
    </xf>
    <xf numFmtId="0" fontId="23" fillId="28" borderId="55" xfId="0" applyFont="1" applyFill="1" applyBorder="1" applyAlignment="1">
      <alignment horizontal="center" vertical="center"/>
    </xf>
    <xf numFmtId="0" fontId="23" fillId="28" borderId="54" xfId="0" applyFont="1" applyFill="1" applyBorder="1" applyAlignment="1">
      <alignment horizontal="center" vertical="center"/>
    </xf>
    <xf numFmtId="0" fontId="23" fillId="28" borderId="56" xfId="0" applyFont="1" applyFill="1" applyBorder="1" applyAlignment="1">
      <alignment horizontal="center" vertical="center"/>
    </xf>
    <xf numFmtId="0" fontId="23" fillId="28" borderId="57" xfId="0" applyFont="1" applyFill="1" applyBorder="1" applyAlignment="1">
      <alignment horizontal="center" vertical="center"/>
    </xf>
    <xf numFmtId="0" fontId="23" fillId="28" borderId="0" xfId="0" applyFont="1" applyFill="1" applyBorder="1" applyAlignment="1">
      <alignment horizontal="center" vertical="center"/>
    </xf>
    <xf numFmtId="0" fontId="23" fillId="28" borderId="58" xfId="0" applyFont="1" applyFill="1" applyBorder="1" applyAlignment="1">
      <alignment horizontal="center" vertical="center"/>
    </xf>
    <xf numFmtId="0" fontId="23" fillId="28" borderId="59" xfId="0" applyFont="1" applyFill="1" applyBorder="1" applyAlignment="1">
      <alignment horizontal="center" vertical="center"/>
    </xf>
    <xf numFmtId="0" fontId="23" fillId="28" borderId="74" xfId="0" applyFont="1" applyFill="1" applyBorder="1" applyAlignment="1">
      <alignment horizontal="center" vertical="center"/>
    </xf>
    <xf numFmtId="0" fontId="23" fillId="28" borderId="60" xfId="0" applyFont="1" applyFill="1" applyBorder="1" applyAlignment="1">
      <alignment horizontal="center" vertical="center"/>
    </xf>
    <xf numFmtId="2" fontId="8" fillId="9" borderId="55" xfId="0" applyNumberFormat="1" applyFont="1" applyFill="1" applyBorder="1" applyAlignment="1">
      <alignment horizontal="center" vertical="center"/>
    </xf>
    <xf numFmtId="2" fontId="8" fillId="9" borderId="57" xfId="0" applyNumberFormat="1" applyFont="1" applyFill="1" applyBorder="1" applyAlignment="1">
      <alignment horizontal="center" vertical="center"/>
    </xf>
    <xf numFmtId="2" fontId="8" fillId="9" borderId="59" xfId="0" applyNumberFormat="1" applyFont="1" applyFill="1" applyBorder="1" applyAlignment="1">
      <alignment horizontal="center" vertical="center"/>
    </xf>
    <xf numFmtId="0" fontId="1" fillId="22" borderId="18" xfId="0" quotePrefix="1" applyFont="1" applyFill="1" applyBorder="1" applyAlignment="1">
      <alignment horizontal="center"/>
    </xf>
    <xf numFmtId="0" fontId="1" fillId="22" borderId="19" xfId="0" quotePrefix="1" applyFont="1" applyFill="1" applyBorder="1" applyAlignment="1">
      <alignment horizontal="center"/>
    </xf>
    <xf numFmtId="0" fontId="1" fillId="22" borderId="20" xfId="0" quotePrefix="1" applyFont="1" applyFill="1" applyBorder="1" applyAlignment="1">
      <alignment horizontal="center"/>
    </xf>
    <xf numFmtId="0" fontId="1" fillId="15" borderId="18" xfId="0" applyFont="1" applyFill="1" applyBorder="1" applyAlignment="1">
      <alignment horizontal="center"/>
    </xf>
    <xf numFmtId="0" fontId="1" fillId="15" borderId="19" xfId="0" applyFont="1" applyFill="1" applyBorder="1" applyAlignment="1">
      <alignment horizontal="center"/>
    </xf>
    <xf numFmtId="0" fontId="1" fillId="15" borderId="20" xfId="0" applyFont="1" applyFill="1" applyBorder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colors>
    <mruColors>
      <color rgb="FFBAA2D3"/>
      <color rgb="FFC6EFCE"/>
      <color rgb="FFFFEB9B"/>
      <color rgb="FFFFC7CE"/>
      <color rgb="FFFF2600"/>
      <color rgb="FFABA7A7"/>
      <color rgb="FF5B9BD5"/>
      <color rgb="FFD883FF"/>
      <color rgb="FF757171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1"/>
  <sheetViews>
    <sheetView tabSelected="1" zoomScale="110" zoomScaleNormal="110" zoomScalePageLayoutView="110" workbookViewId="0">
      <selection activeCell="F4" sqref="F4:G6"/>
    </sheetView>
  </sheetViews>
  <sheetFormatPr baseColWidth="10" defaultRowHeight="16" x14ac:dyDescent="0.2"/>
  <cols>
    <col min="2" max="2" width="3.83203125" customWidth="1"/>
    <col min="3" max="5" width="7.33203125" customWidth="1"/>
    <col min="6" max="6" width="8.33203125" customWidth="1"/>
    <col min="7" max="7" width="7.33203125" customWidth="1"/>
    <col min="8" max="9" width="2.83203125" customWidth="1"/>
    <col min="10" max="12" width="7.33203125" customWidth="1"/>
    <col min="13" max="13" width="6.83203125" customWidth="1"/>
    <col min="14" max="14" width="7.6640625" customWidth="1"/>
    <col min="15" max="15" width="3.83203125" customWidth="1"/>
    <col min="16" max="16" width="1.83203125" style="2" customWidth="1"/>
    <col min="17" max="17" width="11.83203125" bestFit="1" customWidth="1"/>
    <col min="18" max="18" width="9.83203125" bestFit="1" customWidth="1"/>
    <col min="19" max="19" width="9.5" customWidth="1"/>
    <col min="20" max="20" width="9.83203125" bestFit="1" customWidth="1"/>
    <col min="21" max="21" width="1.83203125" customWidth="1"/>
    <col min="22" max="22" width="13.33203125" bestFit="1" customWidth="1"/>
    <col min="23" max="23" width="9.83203125" customWidth="1"/>
    <col min="24" max="24" width="9.5" customWidth="1"/>
    <col min="25" max="25" width="8.83203125" bestFit="1" customWidth="1"/>
    <col min="28" max="29" width="10.83203125" style="2"/>
    <col min="30" max="31" width="13.83203125" style="2" customWidth="1"/>
    <col min="32" max="32" width="13.83203125" customWidth="1"/>
    <col min="33" max="33" width="9.83203125" bestFit="1" customWidth="1"/>
    <col min="34" max="37" width="13.83203125" customWidth="1"/>
    <col min="39" max="42" width="13.83203125" customWidth="1"/>
  </cols>
  <sheetData>
    <row r="1" spans="1:37" x14ac:dyDescent="0.2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</row>
    <row r="2" spans="1:37" ht="17" thickBot="1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84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</row>
    <row r="3" spans="1:37" ht="16" customHeight="1" thickBot="1" x14ac:dyDescent="0.3">
      <c r="A3" s="139"/>
      <c r="B3" s="204"/>
      <c r="C3" s="205"/>
      <c r="D3" s="205"/>
      <c r="E3" s="206"/>
      <c r="F3" s="206"/>
      <c r="G3" s="206"/>
      <c r="H3" s="206"/>
      <c r="I3" s="207"/>
      <c r="J3" s="208"/>
      <c r="K3" s="208"/>
      <c r="L3" s="209"/>
      <c r="M3" s="209"/>
      <c r="N3" s="209"/>
      <c r="O3" s="210"/>
      <c r="P3" s="195"/>
      <c r="Q3" s="177" t="s">
        <v>38</v>
      </c>
      <c r="R3" s="178" t="s">
        <v>0</v>
      </c>
      <c r="S3" s="178" t="s">
        <v>1</v>
      </c>
      <c r="T3" s="179" t="s">
        <v>2</v>
      </c>
      <c r="U3" s="203"/>
      <c r="V3" s="177" t="s">
        <v>44</v>
      </c>
      <c r="W3" s="178" t="s">
        <v>0</v>
      </c>
      <c r="X3" s="230" t="s">
        <v>1</v>
      </c>
      <c r="Y3" s="179" t="s">
        <v>2</v>
      </c>
      <c r="Z3" s="139"/>
      <c r="AA3" s="139"/>
      <c r="AH3" s="249"/>
      <c r="AI3" s="249"/>
      <c r="AJ3" s="249"/>
      <c r="AK3" s="249"/>
    </row>
    <row r="4" spans="1:37" ht="16" customHeight="1" x14ac:dyDescent="0.2">
      <c r="A4" s="139"/>
      <c r="B4" s="211"/>
      <c r="C4" s="250" t="s">
        <v>35</v>
      </c>
      <c r="D4" s="251"/>
      <c r="E4" s="252"/>
      <c r="F4" s="259">
        <v>0</v>
      </c>
      <c r="G4" s="260"/>
      <c r="H4" s="11"/>
      <c r="I4" s="111"/>
      <c r="J4" s="271" t="s">
        <v>53</v>
      </c>
      <c r="K4" s="272"/>
      <c r="L4" s="273"/>
      <c r="M4" s="265">
        <f>IFERROR(VLOOKUP(F4,Breakdown!N35:R39,4,FALSE),0)</f>
        <v>0</v>
      </c>
      <c r="N4" s="266"/>
      <c r="O4" s="212"/>
      <c r="P4" s="195"/>
      <c r="Q4" s="172" t="s">
        <v>13</v>
      </c>
      <c r="R4" s="224">
        <v>0</v>
      </c>
      <c r="S4" s="227">
        <f>IFERROR(VLOOKUP(R4,Breakdown!$H$14:$V$21,2,FALSE),0)</f>
        <v>0</v>
      </c>
      <c r="T4" s="173">
        <f>IFERROR(((S4*$M$9)/Breakdown!$I$56),0)</f>
        <v>0</v>
      </c>
      <c r="U4" s="197"/>
      <c r="V4" s="172" t="s">
        <v>32</v>
      </c>
      <c r="W4" s="224">
        <v>0</v>
      </c>
      <c r="X4" s="231">
        <f>IFERROR(VLOOKUP(W4,Breakdown!$B$3:$E$47,2,FALSE),0)</f>
        <v>0</v>
      </c>
      <c r="Y4" s="173">
        <f>IFERROR(((X4*$M$4)/Breakdown!$I$56),0)</f>
        <v>0</v>
      </c>
      <c r="Z4" s="139"/>
      <c r="AA4" s="139"/>
      <c r="AH4" s="21"/>
      <c r="AI4" s="21"/>
      <c r="AJ4" s="21"/>
      <c r="AK4" s="21"/>
    </row>
    <row r="5" spans="1:37" ht="16" customHeight="1" x14ac:dyDescent="0.2">
      <c r="A5" s="139"/>
      <c r="B5" s="211"/>
      <c r="C5" s="253"/>
      <c r="D5" s="254"/>
      <c r="E5" s="255"/>
      <c r="F5" s="261"/>
      <c r="G5" s="262"/>
      <c r="H5" s="11"/>
      <c r="I5" s="111"/>
      <c r="J5" s="274"/>
      <c r="K5" s="275"/>
      <c r="L5" s="276"/>
      <c r="M5" s="267"/>
      <c r="N5" s="268"/>
      <c r="O5" s="212"/>
      <c r="P5" s="195"/>
      <c r="Q5" s="172" t="s">
        <v>14</v>
      </c>
      <c r="R5" s="225">
        <v>0</v>
      </c>
      <c r="S5" s="228">
        <f>IFERROR(VLOOKUP(R5,Breakdown!$H$14:$V$21,3,FALSE),0)</f>
        <v>0</v>
      </c>
      <c r="T5" s="174">
        <f>IFERROR(((S5*$M$9)/Breakdown!$I$56),0)</f>
        <v>0</v>
      </c>
      <c r="U5" s="197"/>
      <c r="V5" s="172" t="s">
        <v>33</v>
      </c>
      <c r="W5" s="225">
        <v>0</v>
      </c>
      <c r="X5" s="228">
        <f>IFERROR(VLOOKUP(W5,Breakdown!$B$3:$E$47,3,FALSE),0)</f>
        <v>0</v>
      </c>
      <c r="Y5" s="174">
        <f>IFERROR(((X5*$M$4)/Breakdown!$I$56),0)</f>
        <v>0</v>
      </c>
      <c r="Z5" s="139"/>
      <c r="AA5" s="139"/>
      <c r="AH5" s="30"/>
      <c r="AI5" s="168"/>
      <c r="AJ5" s="168"/>
      <c r="AK5" s="168"/>
    </row>
    <row r="6" spans="1:37" ht="17" customHeight="1" thickBot="1" x14ac:dyDescent="0.25">
      <c r="A6" s="139"/>
      <c r="B6" s="211"/>
      <c r="C6" s="256"/>
      <c r="D6" s="257"/>
      <c r="E6" s="258"/>
      <c r="F6" s="263"/>
      <c r="G6" s="264"/>
      <c r="H6" s="11"/>
      <c r="I6" s="111"/>
      <c r="J6" s="277"/>
      <c r="K6" s="278"/>
      <c r="L6" s="279"/>
      <c r="M6" s="269"/>
      <c r="N6" s="270"/>
      <c r="O6" s="212"/>
      <c r="P6" s="195"/>
      <c r="Q6" s="172" t="s">
        <v>15</v>
      </c>
      <c r="R6" s="225">
        <v>0</v>
      </c>
      <c r="S6" s="228">
        <f>IFERROR(VLOOKUP(R6,Breakdown!$H$14:$V$21,4,FALSE),0)</f>
        <v>0</v>
      </c>
      <c r="T6" s="174">
        <f>IFERROR(((S6*$M$9)/Breakdown!$I$56),0)</f>
        <v>0</v>
      </c>
      <c r="U6" s="197"/>
      <c r="V6" s="172" t="s">
        <v>34</v>
      </c>
      <c r="W6" s="226">
        <v>0</v>
      </c>
      <c r="X6" s="229">
        <f>IFERROR(VLOOKUP(W6,Breakdown!$B$3:$E$47,4,FALSE),0)</f>
        <v>0</v>
      </c>
      <c r="Y6" s="175">
        <f>IFERROR((X6/Breakdown!$I$56),0)</f>
        <v>0</v>
      </c>
      <c r="Z6" s="139"/>
      <c r="AA6" s="139"/>
      <c r="AH6" s="30"/>
      <c r="AI6" s="168"/>
      <c r="AJ6" s="168"/>
      <c r="AK6" s="168"/>
    </row>
    <row r="7" spans="1:37" ht="18" thickBot="1" x14ac:dyDescent="0.3">
      <c r="A7" s="139"/>
      <c r="B7" s="211"/>
      <c r="C7" s="113"/>
      <c r="D7" s="113"/>
      <c r="E7" s="6"/>
      <c r="F7" s="6"/>
      <c r="G7" s="6"/>
      <c r="H7" s="6"/>
      <c r="I7" s="111"/>
      <c r="J7" s="113"/>
      <c r="K7" s="113"/>
      <c r="L7" s="6"/>
      <c r="M7" s="9"/>
      <c r="N7" s="9"/>
      <c r="O7" s="213"/>
      <c r="P7" s="195"/>
      <c r="Q7" s="172" t="s">
        <v>16</v>
      </c>
      <c r="R7" s="225">
        <v>0</v>
      </c>
      <c r="S7" s="228">
        <f>IFERROR(VLOOKUP(R7,Breakdown!$H$14:$V$21,5,FALSE),0)</f>
        <v>0</v>
      </c>
      <c r="T7" s="174">
        <f>IFERROR(((S7*$M$9)/Breakdown!$I$56),0)</f>
        <v>0</v>
      </c>
      <c r="U7" s="197"/>
      <c r="V7" s="247" t="s">
        <v>48</v>
      </c>
      <c r="W7" s="248"/>
      <c r="X7" s="232">
        <f>IFERROR(VLOOKUP(F4,Breakdown!H35:L39,5,FALSE),0)</f>
        <v>0</v>
      </c>
      <c r="Y7" s="176">
        <f>IFERROR((X7/Breakdown!I56),0)</f>
        <v>0</v>
      </c>
      <c r="Z7" s="139"/>
      <c r="AA7" s="139"/>
      <c r="AH7" s="30"/>
      <c r="AI7" s="168"/>
      <c r="AJ7" s="168"/>
      <c r="AK7" s="168"/>
    </row>
    <row r="8" spans="1:37" ht="16" customHeight="1" thickBot="1" x14ac:dyDescent="0.3">
      <c r="A8" s="139"/>
      <c r="B8" s="211"/>
      <c r="C8" s="114"/>
      <c r="D8" s="114"/>
      <c r="E8" s="6"/>
      <c r="F8" s="6"/>
      <c r="G8" s="6"/>
      <c r="H8" s="6"/>
      <c r="I8" s="112"/>
      <c r="J8" s="114"/>
      <c r="K8" s="114"/>
      <c r="L8" s="6"/>
      <c r="M8" s="9"/>
      <c r="N8" s="9"/>
      <c r="O8" s="213"/>
      <c r="P8" s="195"/>
      <c r="Q8" s="172" t="s">
        <v>17</v>
      </c>
      <c r="R8" s="225">
        <v>0</v>
      </c>
      <c r="S8" s="228">
        <f>IFERROR(VLOOKUP(R8,Breakdown!$H$14:$V$21,6,FALSE),0)</f>
        <v>0</v>
      </c>
      <c r="T8" s="174">
        <f>IFERROR(((S8*$M$9)/Breakdown!$I$56),0)</f>
        <v>0</v>
      </c>
      <c r="U8" s="197"/>
      <c r="V8" s="203"/>
      <c r="W8" s="197"/>
      <c r="X8" s="199"/>
      <c r="Y8" s="197"/>
      <c r="Z8" s="139"/>
      <c r="AA8" s="139"/>
      <c r="AH8" s="30"/>
      <c r="AI8" s="168"/>
      <c r="AJ8" s="168"/>
      <c r="AK8" s="168"/>
    </row>
    <row r="9" spans="1:37" ht="16" customHeight="1" thickBot="1" x14ac:dyDescent="0.25">
      <c r="A9" s="139"/>
      <c r="B9" s="211"/>
      <c r="C9" s="271" t="s">
        <v>46</v>
      </c>
      <c r="D9" s="272"/>
      <c r="E9" s="273"/>
      <c r="F9" s="265">
        <f>IFERROR(VLOOKUP(F4,Breakdown!N35:R39,5,FALSE),0)</f>
        <v>0</v>
      </c>
      <c r="G9" s="266"/>
      <c r="H9" s="12"/>
      <c r="I9" s="112"/>
      <c r="J9" s="298" t="s">
        <v>42</v>
      </c>
      <c r="K9" s="299"/>
      <c r="L9" s="300"/>
      <c r="M9" s="265">
        <f>IFERROR(VLOOKUP(F4,Breakdown!N35:R39,2,FALSE),0)</f>
        <v>0</v>
      </c>
      <c r="N9" s="266"/>
      <c r="O9" s="212"/>
      <c r="P9" s="195"/>
      <c r="Q9" s="172" t="s">
        <v>19</v>
      </c>
      <c r="R9" s="225">
        <v>0</v>
      </c>
      <c r="S9" s="228">
        <f>IFERROR(VLOOKUP(R9,Breakdown!$H$14:$V$21,7,FALSE),0)</f>
        <v>0</v>
      </c>
      <c r="T9" s="174">
        <f>IFERROR(((S9*$M$9)/Breakdown!$I$56),0)</f>
        <v>0</v>
      </c>
      <c r="U9" s="197"/>
      <c r="V9" s="177" t="s">
        <v>47</v>
      </c>
      <c r="W9" s="178" t="s">
        <v>0</v>
      </c>
      <c r="X9" s="180" t="s">
        <v>1</v>
      </c>
      <c r="Y9" s="179" t="s">
        <v>2</v>
      </c>
      <c r="Z9" s="139"/>
      <c r="AA9" s="139"/>
    </row>
    <row r="10" spans="1:37" ht="16" customHeight="1" x14ac:dyDescent="0.2">
      <c r="A10" s="139"/>
      <c r="B10" s="211"/>
      <c r="C10" s="274"/>
      <c r="D10" s="275"/>
      <c r="E10" s="276"/>
      <c r="F10" s="267"/>
      <c r="G10" s="268"/>
      <c r="H10" s="12"/>
      <c r="I10" s="112"/>
      <c r="J10" s="301"/>
      <c r="K10" s="302"/>
      <c r="L10" s="303"/>
      <c r="M10" s="267"/>
      <c r="N10" s="268"/>
      <c r="O10" s="212"/>
      <c r="P10" s="195"/>
      <c r="Q10" s="172" t="s">
        <v>20</v>
      </c>
      <c r="R10" s="225">
        <v>0</v>
      </c>
      <c r="S10" s="228">
        <f>IFERROR(VLOOKUP(R10,Breakdown!$H$14:$V$21,8,FALSE),0)</f>
        <v>0</v>
      </c>
      <c r="T10" s="174">
        <f>IFERROR(((S10*$M$9)/Breakdown!$I$56),0)</f>
        <v>0</v>
      </c>
      <c r="U10" s="197"/>
      <c r="V10" s="172" t="s">
        <v>3</v>
      </c>
      <c r="W10" s="224">
        <v>0</v>
      </c>
      <c r="X10" s="227">
        <f>IFERROR(VLOOKUP(W10,Breakdown!$H$3:$R$9,2,FALSE),0)</f>
        <v>0</v>
      </c>
      <c r="Y10" s="173">
        <f>IFERROR(((X10*$F$9)/Breakdown!$I$56),0)</f>
        <v>0</v>
      </c>
      <c r="Z10" s="139"/>
      <c r="AA10" s="139"/>
    </row>
    <row r="11" spans="1:37" ht="17" customHeight="1" thickBot="1" x14ac:dyDescent="0.25">
      <c r="A11" s="139"/>
      <c r="B11" s="211"/>
      <c r="C11" s="277"/>
      <c r="D11" s="278"/>
      <c r="E11" s="279"/>
      <c r="F11" s="269"/>
      <c r="G11" s="270"/>
      <c r="H11" s="12"/>
      <c r="I11" s="112"/>
      <c r="J11" s="304"/>
      <c r="K11" s="305"/>
      <c r="L11" s="306"/>
      <c r="M11" s="269"/>
      <c r="N11" s="270"/>
      <c r="O11" s="212"/>
      <c r="P11" s="195"/>
      <c r="Q11" s="172" t="s">
        <v>22</v>
      </c>
      <c r="R11" s="225">
        <v>0</v>
      </c>
      <c r="S11" s="228">
        <f>IFERROR(VLOOKUP(R11,Breakdown!$H$14:$V$21,9,FALSE),0)</f>
        <v>0</v>
      </c>
      <c r="T11" s="174">
        <f>IFERROR(((S11*$M$9)/Breakdown!$I$56),0)</f>
        <v>0</v>
      </c>
      <c r="U11" s="197"/>
      <c r="V11" s="172" t="s">
        <v>4</v>
      </c>
      <c r="W11" s="225">
        <v>0</v>
      </c>
      <c r="X11" s="228">
        <f>IFERROR(VLOOKUP(W11,Breakdown!$H$3:$R$9,3,FALSE),0)</f>
        <v>0</v>
      </c>
      <c r="Y11" s="174">
        <f>IFERROR(((X11*$F$9)/Breakdown!$I$56),0)</f>
        <v>0</v>
      </c>
      <c r="Z11" s="139"/>
      <c r="AA11" s="139"/>
    </row>
    <row r="12" spans="1:37" ht="18" thickBot="1" x14ac:dyDescent="0.3">
      <c r="A12" s="139"/>
      <c r="B12" s="214"/>
      <c r="C12" s="116"/>
      <c r="D12" s="116"/>
      <c r="E12" s="117"/>
      <c r="F12" s="117"/>
      <c r="G12" s="117"/>
      <c r="H12" s="117"/>
      <c r="I12" s="112"/>
      <c r="J12" s="115"/>
      <c r="K12" s="115"/>
      <c r="L12" s="3"/>
      <c r="M12" s="10"/>
      <c r="N12" s="10"/>
      <c r="O12" s="215"/>
      <c r="P12" s="195"/>
      <c r="Q12" s="172" t="s">
        <v>24</v>
      </c>
      <c r="R12" s="225">
        <v>0</v>
      </c>
      <c r="S12" s="228">
        <f>IFERROR(VLOOKUP(R12,Breakdown!$H$14:$V$21,10,FALSE),0)</f>
        <v>0</v>
      </c>
      <c r="T12" s="174">
        <f>IFERROR(((S12*$M$9)/Breakdown!$I$56),0)</f>
        <v>0</v>
      </c>
      <c r="U12" s="197"/>
      <c r="V12" s="172" t="s">
        <v>5</v>
      </c>
      <c r="W12" s="225">
        <v>0</v>
      </c>
      <c r="X12" s="228">
        <f>IFERROR(VLOOKUP(W12,Breakdown!$H$3:$R$9,4,FALSE),0)</f>
        <v>0</v>
      </c>
      <c r="Y12" s="174">
        <f>IFERROR(((X12*$F$9)/Breakdown!$I$56),0)</f>
        <v>0</v>
      </c>
      <c r="Z12" s="139"/>
      <c r="AA12" s="139"/>
    </row>
    <row r="13" spans="1:37" ht="18" thickBot="1" x14ac:dyDescent="0.25">
      <c r="A13" s="139"/>
      <c r="B13" s="216"/>
      <c r="C13" s="7"/>
      <c r="D13" s="7"/>
      <c r="E13" s="7"/>
      <c r="F13" s="7"/>
      <c r="G13" s="7"/>
      <c r="H13" s="7"/>
      <c r="I13" s="112"/>
      <c r="J13" s="115"/>
      <c r="K13" s="115"/>
      <c r="L13" s="3"/>
      <c r="M13" s="10"/>
      <c r="N13" s="10"/>
      <c r="O13" s="215"/>
      <c r="P13" s="195"/>
      <c r="Q13" s="172" t="s">
        <v>26</v>
      </c>
      <c r="R13" s="225">
        <v>0</v>
      </c>
      <c r="S13" s="228">
        <f>IFERROR(VLOOKUP(R13,Breakdown!$H$14:$V$21,11,FALSE),0)</f>
        <v>0</v>
      </c>
      <c r="T13" s="174">
        <f>IFERROR(((S13*$M$9)/Breakdown!$I$56),0)</f>
        <v>0</v>
      </c>
      <c r="U13" s="197"/>
      <c r="V13" s="172" t="s">
        <v>6</v>
      </c>
      <c r="W13" s="225">
        <v>0</v>
      </c>
      <c r="X13" s="228">
        <f>IFERROR(VLOOKUP(W13,Breakdown!$H$3:$R$9,5,FALSE),0)</f>
        <v>0</v>
      </c>
      <c r="Y13" s="174">
        <f>IFERROR(((X13*$F$9)/Breakdown!$I$56),0)</f>
        <v>0</v>
      </c>
      <c r="Z13" s="139"/>
      <c r="AA13" s="139"/>
    </row>
    <row r="14" spans="1:37" ht="16" customHeight="1" x14ac:dyDescent="0.2">
      <c r="A14" s="139"/>
      <c r="B14" s="217"/>
      <c r="C14" s="307" t="s">
        <v>68</v>
      </c>
      <c r="D14" s="308"/>
      <c r="E14" s="309"/>
      <c r="F14" s="283">
        <f>IFERROR((VLOOKUP($F$4,Breakdown!$H$26:$K$30,4,FALSE)-(VLOOKUP($F$4,Breakdown!$X$26:$AA$30,4,FALSE)))+((VLOOKUP($F$4,Breakdown!$X$26:$AA$30,4,FALSE))*Breakdown!N56),0)</f>
        <v>0</v>
      </c>
      <c r="G14" s="284"/>
      <c r="H14" s="13"/>
      <c r="I14" s="112"/>
      <c r="J14" s="289" t="s">
        <v>43</v>
      </c>
      <c r="K14" s="290"/>
      <c r="L14" s="291"/>
      <c r="M14" s="265">
        <f>IFERROR(VLOOKUP(F4,Breakdown!N35:R39,3,FALSE),0)</f>
        <v>0</v>
      </c>
      <c r="N14" s="266"/>
      <c r="O14" s="212"/>
      <c r="P14" s="195"/>
      <c r="Q14" s="172" t="s">
        <v>27</v>
      </c>
      <c r="R14" s="225">
        <v>0</v>
      </c>
      <c r="S14" s="228">
        <f>IFERROR(VLOOKUP(R14,Breakdown!$H$14:$V$21,12,FALSE),0)</f>
        <v>0</v>
      </c>
      <c r="T14" s="174">
        <f>IFERROR(((S14*$M$9)/Breakdown!$I$56),0)</f>
        <v>0</v>
      </c>
      <c r="U14" s="197" t="s">
        <v>41</v>
      </c>
      <c r="V14" s="172" t="s">
        <v>7</v>
      </c>
      <c r="W14" s="225">
        <v>0</v>
      </c>
      <c r="X14" s="228">
        <f>IFERROR(VLOOKUP(W14,Breakdown!$H$3:$R$9,6,FALSE),0)</f>
        <v>0</v>
      </c>
      <c r="Y14" s="174">
        <f>IFERROR(((X14*$F$9)/Breakdown!$I$56),0)</f>
        <v>0</v>
      </c>
      <c r="Z14" s="139"/>
      <c r="AA14" s="139"/>
    </row>
    <row r="15" spans="1:37" ht="16" customHeight="1" x14ac:dyDescent="0.2">
      <c r="A15" s="139"/>
      <c r="B15" s="217"/>
      <c r="C15" s="310" t="s">
        <v>69</v>
      </c>
      <c r="D15" s="311"/>
      <c r="E15" s="312"/>
      <c r="F15" s="285"/>
      <c r="G15" s="286"/>
      <c r="H15" s="13"/>
      <c r="I15" s="112"/>
      <c r="J15" s="292"/>
      <c r="K15" s="293"/>
      <c r="L15" s="294"/>
      <c r="M15" s="267"/>
      <c r="N15" s="268"/>
      <c r="O15" s="212"/>
      <c r="P15" s="195"/>
      <c r="Q15" s="172" t="s">
        <v>28</v>
      </c>
      <c r="R15" s="225">
        <v>0</v>
      </c>
      <c r="S15" s="228">
        <f>IFERROR(VLOOKUP(R15,Breakdown!$H$14:$V$21,13,FALSE),0)</f>
        <v>0</v>
      </c>
      <c r="T15" s="174">
        <f>IFERROR(((S15*$M$9)/Breakdown!$I$56),0)</f>
        <v>0</v>
      </c>
      <c r="U15" s="197"/>
      <c r="V15" s="172" t="s">
        <v>8</v>
      </c>
      <c r="W15" s="225">
        <v>0</v>
      </c>
      <c r="X15" s="228">
        <f>IFERROR(VLOOKUP(W15,Breakdown!$H$3:$R$9,7,FALSE),0)</f>
        <v>0</v>
      </c>
      <c r="Y15" s="174">
        <f>IFERROR(((X15*$F$9)/Breakdown!$I$56),0)</f>
        <v>0</v>
      </c>
      <c r="Z15" s="139"/>
      <c r="AA15" s="139"/>
    </row>
    <row r="16" spans="1:37" ht="17" customHeight="1" thickBot="1" x14ac:dyDescent="0.25">
      <c r="A16" s="139"/>
      <c r="B16" s="217"/>
      <c r="C16" s="313" t="s">
        <v>70</v>
      </c>
      <c r="D16" s="314"/>
      <c r="E16" s="315"/>
      <c r="F16" s="287"/>
      <c r="G16" s="288"/>
      <c r="H16" s="13"/>
      <c r="I16" s="112"/>
      <c r="J16" s="295"/>
      <c r="K16" s="296"/>
      <c r="L16" s="297"/>
      <c r="M16" s="269"/>
      <c r="N16" s="270"/>
      <c r="O16" s="212"/>
      <c r="P16" s="195"/>
      <c r="Q16" s="172" t="s">
        <v>29</v>
      </c>
      <c r="R16" s="225">
        <v>0</v>
      </c>
      <c r="S16" s="228">
        <f>IFERROR(VLOOKUP(R16,Breakdown!$H$14:$V$21,14,FALSE),0)</f>
        <v>0</v>
      </c>
      <c r="T16" s="174">
        <f>IFERROR(((S16*$M$9)/Breakdown!$I$56),0)</f>
        <v>0</v>
      </c>
      <c r="U16" s="197"/>
      <c r="V16" s="172" t="s">
        <v>9</v>
      </c>
      <c r="W16" s="225">
        <v>0</v>
      </c>
      <c r="X16" s="228">
        <f>IFERROR(VLOOKUP(W16,Breakdown!$H$3:$R$9,8,FALSE),0)</f>
        <v>0</v>
      </c>
      <c r="Y16" s="174">
        <f>IFERROR(((X16*$F$9)/Breakdown!$I$56),0)</f>
        <v>0</v>
      </c>
      <c r="Z16" s="139"/>
      <c r="AA16" s="139"/>
    </row>
    <row r="17" spans="1:27" ht="18" thickBot="1" x14ac:dyDescent="0.25">
      <c r="A17" s="139"/>
      <c r="B17" s="218"/>
      <c r="C17" s="219"/>
      <c r="D17" s="219"/>
      <c r="E17" s="219"/>
      <c r="F17" s="219"/>
      <c r="G17" s="219"/>
      <c r="H17" s="219"/>
      <c r="I17" s="220"/>
      <c r="J17" s="221"/>
      <c r="K17" s="221"/>
      <c r="L17" s="222"/>
      <c r="M17" s="222"/>
      <c r="N17" s="222"/>
      <c r="O17" s="223"/>
      <c r="P17" s="195"/>
      <c r="Q17" s="172" t="s">
        <v>31</v>
      </c>
      <c r="R17" s="226">
        <v>0</v>
      </c>
      <c r="S17" s="229">
        <f>IFERROR(VLOOKUP(R17,Breakdown!$H$14:$V$21,15,FALSE),0)</f>
        <v>0</v>
      </c>
      <c r="T17" s="175">
        <f>IFERROR(((S17*$M$9)/Breakdown!$I$56),0)</f>
        <v>0</v>
      </c>
      <c r="U17" s="197"/>
      <c r="V17" s="172" t="s">
        <v>10</v>
      </c>
      <c r="W17" s="225">
        <v>0</v>
      </c>
      <c r="X17" s="228">
        <f>IFERROR(VLOOKUP(W17,Breakdown!$H$3:$R$9,9,FALSE),0)</f>
        <v>0</v>
      </c>
      <c r="Y17" s="174">
        <f>IFERROR(((X17*$F$9)/Breakdown!$I$56),0)</f>
        <v>0</v>
      </c>
      <c r="Z17" s="139"/>
      <c r="AA17" s="139"/>
    </row>
    <row r="18" spans="1:27" ht="17" thickBot="1" x14ac:dyDescent="0.25">
      <c r="A18" s="139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247" t="s">
        <v>48</v>
      </c>
      <c r="R18" s="248"/>
      <c r="S18" s="232">
        <f>IFERROR(VLOOKUP(F4,Breakdown!H35:J39,3,FALSE),0)</f>
        <v>0</v>
      </c>
      <c r="T18" s="176">
        <f>IFERROR((S18/Breakdown!I56),0)</f>
        <v>0</v>
      </c>
      <c r="U18" s="197"/>
      <c r="V18" s="172" t="s">
        <v>11</v>
      </c>
      <c r="W18" s="225">
        <v>0</v>
      </c>
      <c r="X18" s="228">
        <f>IFERROR(VLOOKUP(W18,Breakdown!$H$3:$R$9,10,FALSE),0)</f>
        <v>0</v>
      </c>
      <c r="Y18" s="174">
        <f>IFERROR(((X18*$F$9)/Breakdown!$I$56),0)</f>
        <v>0</v>
      </c>
      <c r="Z18" s="139"/>
      <c r="AA18" s="139"/>
    </row>
    <row r="19" spans="1:27" ht="16" customHeight="1" thickBot="1" x14ac:dyDescent="0.25">
      <c r="A19" s="139"/>
      <c r="B19" s="184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84"/>
      <c r="N19" s="139"/>
      <c r="O19" s="139"/>
      <c r="P19" s="139"/>
      <c r="Q19" s="203"/>
      <c r="R19" s="197"/>
      <c r="S19" s="199"/>
      <c r="T19" s="197"/>
      <c r="U19" s="197"/>
      <c r="V19" s="172" t="s">
        <v>12</v>
      </c>
      <c r="W19" s="226">
        <v>0</v>
      </c>
      <c r="X19" s="229">
        <f>IFERROR(VLOOKUP(W19,Breakdown!$H$3:$R$9,11,FALSE),0)</f>
        <v>0</v>
      </c>
      <c r="Y19" s="175">
        <f>IFERROR(((X19*$F$9)/Breakdown!$I$56),0)</f>
        <v>0</v>
      </c>
      <c r="Z19" s="139"/>
      <c r="AA19" s="139"/>
    </row>
    <row r="20" spans="1:27" ht="16" customHeight="1" thickBot="1" x14ac:dyDescent="0.25">
      <c r="A20" s="139"/>
      <c r="B20" s="184"/>
      <c r="C20" s="139"/>
      <c r="D20" s="280" t="s">
        <v>71</v>
      </c>
      <c r="E20" s="281"/>
      <c r="F20" s="282"/>
      <c r="G20" s="184"/>
      <c r="H20" s="280" t="s">
        <v>75</v>
      </c>
      <c r="I20" s="281"/>
      <c r="J20" s="281"/>
      <c r="K20" s="281"/>
      <c r="L20" s="281"/>
      <c r="M20" s="282"/>
      <c r="N20" s="139"/>
      <c r="O20" s="139"/>
      <c r="P20" s="139"/>
      <c r="Q20" s="177" t="s">
        <v>39</v>
      </c>
      <c r="R20" s="178" t="s">
        <v>0</v>
      </c>
      <c r="S20" s="180" t="s">
        <v>1</v>
      </c>
      <c r="T20" s="179" t="s">
        <v>2</v>
      </c>
      <c r="U20" s="197"/>
      <c r="V20" s="247" t="s">
        <v>48</v>
      </c>
      <c r="W20" s="248"/>
      <c r="X20" s="232">
        <f>IFERROR(VLOOKUP(F4,Breakdown!H35:K39,4,FALSE),0)</f>
        <v>0</v>
      </c>
      <c r="Y20" s="176">
        <f>IFERROR((X20/Breakdown!I56),0)</f>
        <v>0</v>
      </c>
      <c r="Z20" s="139"/>
      <c r="AA20" s="139"/>
    </row>
    <row r="21" spans="1:27" ht="16" customHeight="1" thickBot="1" x14ac:dyDescent="0.35">
      <c r="A21" s="139"/>
      <c r="B21" s="193"/>
      <c r="C21" s="139"/>
      <c r="D21" s="320" t="s">
        <v>32</v>
      </c>
      <c r="E21" s="321"/>
      <c r="F21" s="181">
        <f>IFERROR((IF(W4&gt;(VLOOKUP($F$4,Breakdown!$X$15:$Z$19,3,FALSE)),(VLOOKUP($F$4,Breakdown!$X$15:$Z$19,3,FALSE)),W4))/(VLOOKUP($F$4,Breakdown!$X$15:$Z$19,3,FALSE)),0)</f>
        <v>0</v>
      </c>
      <c r="G21" s="185"/>
      <c r="H21" s="331"/>
      <c r="I21" s="332"/>
      <c r="J21" s="322" t="s">
        <v>74</v>
      </c>
      <c r="K21" s="325"/>
      <c r="L21" s="325"/>
      <c r="M21" s="326"/>
      <c r="N21" s="139"/>
      <c r="O21" s="234"/>
      <c r="P21" s="139"/>
      <c r="Q21" s="172" t="s">
        <v>18</v>
      </c>
      <c r="R21" s="224">
        <v>0</v>
      </c>
      <c r="S21" s="227">
        <f>IFERROR(VLOOKUP(R21,Breakdown!$U$3:$Z$9,2,FALSE),0)</f>
        <v>0</v>
      </c>
      <c r="T21" s="173">
        <f>IFERROR(((S21*$M$14)/Breakdown!$I$56),0)</f>
        <v>0</v>
      </c>
      <c r="U21" s="197"/>
      <c r="V21" s="197"/>
      <c r="W21" s="197"/>
      <c r="X21" s="197"/>
      <c r="Y21" s="197"/>
      <c r="Z21" s="139"/>
      <c r="AA21" s="139"/>
    </row>
    <row r="22" spans="1:27" ht="16" customHeight="1" thickBot="1" x14ac:dyDescent="0.35">
      <c r="A22" s="139"/>
      <c r="B22" s="193"/>
      <c r="C22" s="139"/>
      <c r="D22" s="318" t="s">
        <v>33</v>
      </c>
      <c r="E22" s="319"/>
      <c r="F22" s="182">
        <f>IFERROR((IF(W5&gt;(VLOOKUP($F$4,Breakdown!$X$15:$Z$19,2,FALSE)),(VLOOKUP($F$4,Breakdown!$X$15:$Z$19,2,FALSE)),W5))/(VLOOKUP($F$4,Breakdown!$X$15:$Z$19,2,FALSE)),0)</f>
        <v>0</v>
      </c>
      <c r="G22" s="185"/>
      <c r="H22" s="185"/>
      <c r="I22" s="186"/>
      <c r="J22" s="186"/>
      <c r="K22" s="186"/>
      <c r="L22" s="186"/>
      <c r="M22" s="186"/>
      <c r="N22" s="139"/>
      <c r="O22" s="139"/>
      <c r="P22" s="139"/>
      <c r="Q22" s="172" t="s">
        <v>21</v>
      </c>
      <c r="R22" s="225">
        <v>0</v>
      </c>
      <c r="S22" s="228">
        <f>IFERROR(VLOOKUP(R22,Breakdown!$U$3:$Z$9,3,FALSE),0)</f>
        <v>0</v>
      </c>
      <c r="T22" s="174">
        <f>IFERROR(((S22*$M$14)/Breakdown!$I$56),0)</f>
        <v>0</v>
      </c>
      <c r="U22" s="197"/>
      <c r="V22" s="139"/>
      <c r="W22" s="139"/>
      <c r="X22" s="197"/>
      <c r="Y22" s="197"/>
      <c r="Z22" s="139"/>
      <c r="AA22" s="139"/>
    </row>
    <row r="23" spans="1:27" ht="15" customHeight="1" thickBot="1" x14ac:dyDescent="0.35">
      <c r="A23" s="139"/>
      <c r="B23" s="193"/>
      <c r="C23" s="139"/>
      <c r="D23" s="318" t="s">
        <v>57</v>
      </c>
      <c r="E23" s="319"/>
      <c r="F23" s="182">
        <f>IFERROR((VLOOKUP($F$4,Breakdown!$M$46:$P$50,3,FALSE)/(VLOOKUP($F$4,Breakdown!$R$46:$U$50,3,FALSE))),0)</f>
        <v>0</v>
      </c>
      <c r="G23" s="187"/>
      <c r="H23" s="329"/>
      <c r="I23" s="330"/>
      <c r="J23" s="322" t="s">
        <v>73</v>
      </c>
      <c r="K23" s="323"/>
      <c r="L23" s="323"/>
      <c r="M23" s="324"/>
      <c r="N23" s="188"/>
      <c r="O23" s="196"/>
      <c r="P23" s="139"/>
      <c r="Q23" s="172" t="s">
        <v>23</v>
      </c>
      <c r="R23" s="225">
        <v>0</v>
      </c>
      <c r="S23" s="228">
        <f>IFERROR(VLOOKUP(R23,Breakdown!$U$3:$Z$9,4,FALSE),0)</f>
        <v>0</v>
      </c>
      <c r="T23" s="174">
        <f>IFERROR(((S23*$M$14)/Breakdown!$I$56),0)</f>
        <v>0</v>
      </c>
      <c r="U23" s="197"/>
      <c r="V23" s="139"/>
      <c r="W23" s="139"/>
      <c r="X23" s="197"/>
      <c r="Y23" s="199"/>
      <c r="Z23" s="139"/>
      <c r="AA23" s="139"/>
    </row>
    <row r="24" spans="1:27" ht="16" customHeight="1" thickBot="1" x14ac:dyDescent="0.35">
      <c r="A24" s="139"/>
      <c r="B24" s="193"/>
      <c r="C24" s="139"/>
      <c r="D24" s="318" t="s">
        <v>58</v>
      </c>
      <c r="E24" s="319"/>
      <c r="F24" s="182">
        <f>IFERROR((VLOOKUP($F$4,Breakdown!$M$46:$P$50,2,FALSE)/(VLOOKUP($F$4,Breakdown!$R$46:$U$50,2,FALSE))),0)</f>
        <v>0</v>
      </c>
      <c r="G24" s="187"/>
      <c r="H24" s="187"/>
      <c r="I24" s="189"/>
      <c r="J24" s="190"/>
      <c r="K24" s="139"/>
      <c r="L24" s="191"/>
      <c r="M24" s="191"/>
      <c r="N24" s="190"/>
      <c r="O24" s="139"/>
      <c r="P24" s="139"/>
      <c r="Q24" s="172" t="s">
        <v>25</v>
      </c>
      <c r="R24" s="225">
        <v>0</v>
      </c>
      <c r="S24" s="228">
        <f>IFERROR(VLOOKUP(R24,Breakdown!$U$3:$Z$9,5,FALSE),0)</f>
        <v>0</v>
      </c>
      <c r="T24" s="174">
        <f>IFERROR(((S24*$M$14)/Breakdown!$I$56),0)</f>
        <v>0</v>
      </c>
      <c r="U24" s="197"/>
      <c r="V24" s="139"/>
      <c r="W24" s="139"/>
      <c r="X24" s="200"/>
      <c r="Y24" s="197"/>
      <c r="Z24" s="139"/>
      <c r="AA24" s="139"/>
    </row>
    <row r="25" spans="1:27" ht="16" customHeight="1" thickBot="1" x14ac:dyDescent="0.25">
      <c r="A25" s="139"/>
      <c r="B25" s="193"/>
      <c r="C25" s="139"/>
      <c r="D25" s="316" t="s">
        <v>47</v>
      </c>
      <c r="E25" s="317"/>
      <c r="F25" s="183">
        <f>IFERROR(VLOOKUP($F$4,Breakdown!$M$46:$P$50,4,FALSE)/(VLOOKUP($F$4,Breakdown!$R$46:$U$50,4,FALSE)),0)</f>
        <v>0</v>
      </c>
      <c r="G25" s="184"/>
      <c r="H25" s="327"/>
      <c r="I25" s="328"/>
      <c r="J25" s="322" t="s">
        <v>72</v>
      </c>
      <c r="K25" s="323"/>
      <c r="L25" s="323"/>
      <c r="M25" s="324"/>
      <c r="N25" s="188"/>
      <c r="O25" s="139"/>
      <c r="P25" s="139"/>
      <c r="Q25" s="172" t="s">
        <v>30</v>
      </c>
      <c r="R25" s="226">
        <v>0</v>
      </c>
      <c r="S25" s="229">
        <f>IFERROR(VLOOKUP(R25,Breakdown!$U$3:$Z$9,6,FALSE),0)</f>
        <v>0</v>
      </c>
      <c r="T25" s="175">
        <f>IFERROR(((S25*$M$14)/Breakdown!$I$56),0)</f>
        <v>0</v>
      </c>
      <c r="U25" s="197"/>
      <c r="V25" s="139"/>
      <c r="W25" s="139"/>
      <c r="X25" s="201"/>
      <c r="Y25" s="202"/>
      <c r="Z25" s="139"/>
      <c r="AA25" s="139"/>
    </row>
    <row r="26" spans="1:27" ht="17" customHeight="1" thickBot="1" x14ac:dyDescent="0.25">
      <c r="A26" s="139"/>
      <c r="B26" s="193"/>
      <c r="C26" s="139"/>
      <c r="D26" s="192"/>
      <c r="E26" s="184"/>
      <c r="F26" s="184"/>
      <c r="G26" s="184"/>
      <c r="H26" s="184"/>
      <c r="I26" s="184"/>
      <c r="J26" s="184"/>
      <c r="K26" s="184"/>
      <c r="L26" s="184"/>
      <c r="M26" s="184"/>
      <c r="N26" s="139"/>
      <c r="O26" s="139"/>
      <c r="P26" s="139"/>
      <c r="Q26" s="247" t="s">
        <v>48</v>
      </c>
      <c r="R26" s="248"/>
      <c r="S26" s="233">
        <f>IFERROR(VLOOKUP(F4,Breakdown!H35:I39,2,FALSE),0)</f>
        <v>0</v>
      </c>
      <c r="T26" s="176">
        <f>IFERROR((S26/Breakdown!I56),0)</f>
        <v>0</v>
      </c>
      <c r="U26" s="197"/>
      <c r="V26" s="139"/>
      <c r="W26" s="139"/>
      <c r="X26" s="200"/>
      <c r="Y26" s="197"/>
      <c r="Z26" s="139"/>
      <c r="AA26" s="139"/>
    </row>
    <row r="27" spans="1:27" s="2" customFormat="1" ht="17" customHeight="1" x14ac:dyDescent="0.4">
      <c r="A27" s="139"/>
      <c r="B27" s="184"/>
      <c r="C27" s="194"/>
      <c r="D27" s="239"/>
      <c r="E27" s="184"/>
      <c r="F27" s="184"/>
      <c r="G27" s="184"/>
      <c r="H27" s="184"/>
      <c r="I27" s="184"/>
      <c r="J27" s="242"/>
      <c r="K27" s="242"/>
      <c r="L27" s="242"/>
      <c r="M27" s="242"/>
      <c r="N27" s="139"/>
      <c r="O27" s="139"/>
      <c r="P27" s="139"/>
      <c r="Q27" s="197"/>
      <c r="R27" s="197"/>
      <c r="S27" s="197"/>
      <c r="T27" s="198"/>
      <c r="U27" s="197"/>
      <c r="V27" s="197"/>
      <c r="W27" s="197"/>
      <c r="X27" s="197"/>
      <c r="Y27" s="197"/>
      <c r="Z27" s="139"/>
      <c r="AA27" s="139"/>
    </row>
    <row r="28" spans="1:27" s="2" customFormat="1" ht="16" customHeight="1" x14ac:dyDescent="0.35">
      <c r="A28" s="139"/>
      <c r="B28" s="139"/>
      <c r="C28" s="139"/>
      <c r="D28" s="139"/>
      <c r="E28" s="139"/>
      <c r="F28" s="139"/>
      <c r="G28" s="139"/>
      <c r="H28" s="139"/>
      <c r="I28" s="139"/>
      <c r="J28" s="242"/>
      <c r="K28" s="242"/>
      <c r="L28" s="242"/>
      <c r="M28" s="242"/>
      <c r="N28" s="139"/>
      <c r="O28" s="139"/>
      <c r="P28" s="139"/>
      <c r="Q28" s="197"/>
      <c r="R28" s="197"/>
      <c r="S28" s="197"/>
      <c r="T28" s="197"/>
      <c r="U28" s="197"/>
      <c r="V28" s="197"/>
      <c r="W28" s="197"/>
      <c r="X28" s="197"/>
      <c r="Y28" s="197"/>
      <c r="Z28" s="139"/>
      <c r="AA28" s="139"/>
    </row>
    <row r="29" spans="1:27" s="2" customFormat="1" ht="16" customHeight="1" x14ac:dyDescent="0.35">
      <c r="A29" s="139"/>
      <c r="B29" s="166"/>
      <c r="C29" s="139"/>
      <c r="D29" s="139"/>
      <c r="E29" s="139"/>
      <c r="F29" s="139"/>
      <c r="G29" s="139"/>
      <c r="H29" s="139"/>
      <c r="I29" s="139"/>
      <c r="J29" s="242"/>
      <c r="K29" s="242"/>
      <c r="L29" s="242"/>
      <c r="M29" s="242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</row>
    <row r="30" spans="1:27" s="2" customFormat="1" x14ac:dyDescent="0.2">
      <c r="A30" s="139"/>
      <c r="B30" s="166"/>
      <c r="C30" s="166"/>
      <c r="D30" s="166"/>
      <c r="E30" s="166"/>
      <c r="F30" s="166"/>
      <c r="G30" s="166"/>
      <c r="H30" s="166"/>
      <c r="I30" s="139"/>
      <c r="J30" s="166"/>
      <c r="K30" s="166"/>
      <c r="L30" s="166"/>
      <c r="M30" s="166"/>
      <c r="N30" s="139"/>
      <c r="O30" s="139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</row>
    <row r="31" spans="1:27" s="2" customFormat="1" x14ac:dyDescent="0.2"/>
    <row r="32" spans="1:27" s="2" customFormat="1" x14ac:dyDescent="0.2"/>
    <row r="33" spans="3:20" s="2" customFormat="1" x14ac:dyDescent="0.2"/>
    <row r="34" spans="3:20" s="2" customFormat="1" x14ac:dyDescent="0.2"/>
    <row r="35" spans="3:20" s="2" customFormat="1" ht="16" customHeight="1" x14ac:dyDescent="0.2"/>
    <row r="36" spans="3:20" s="2" customFormat="1" ht="16" customHeight="1" x14ac:dyDescent="0.2"/>
    <row r="37" spans="3:20" s="2" customFormat="1" x14ac:dyDescent="0.2"/>
    <row r="38" spans="3:20" s="2" customFormat="1" x14ac:dyDescent="0.2"/>
    <row r="39" spans="3:20" s="2" customFormat="1" x14ac:dyDescent="0.2"/>
    <row r="40" spans="3:20" s="2" customFormat="1" x14ac:dyDescent="0.2"/>
    <row r="41" spans="3:20" s="2" customFormat="1" x14ac:dyDescent="0.2"/>
    <row r="42" spans="3:20" s="2" customFormat="1" x14ac:dyDescent="0.2"/>
    <row r="43" spans="3:20" s="2" customFormat="1" x14ac:dyDescent="0.2"/>
    <row r="45" spans="3:20" ht="16" customHeight="1" x14ac:dyDescent="0.2"/>
    <row r="46" spans="3:20" ht="16" customHeight="1" x14ac:dyDescent="0.2">
      <c r="C46" s="1"/>
      <c r="D46" s="18"/>
      <c r="E46" s="2"/>
      <c r="F46" s="130"/>
      <c r="G46" s="2"/>
      <c r="H46" s="2"/>
      <c r="I46" s="15"/>
      <c r="J46" s="1"/>
      <c r="K46" s="18"/>
      <c r="L46" s="2"/>
      <c r="M46" s="130"/>
      <c r="N46" s="15"/>
      <c r="O46" s="15"/>
      <c r="Q46" s="1"/>
      <c r="R46" s="18"/>
      <c r="S46" s="131"/>
      <c r="T46" s="130"/>
    </row>
    <row r="47" spans="3:20" ht="16" customHeight="1" x14ac:dyDescent="0.2">
      <c r="C47" s="1"/>
      <c r="D47" s="18"/>
      <c r="E47" s="2"/>
      <c r="F47" s="130"/>
      <c r="G47" s="2"/>
      <c r="H47" s="2"/>
      <c r="I47" s="15"/>
      <c r="J47" s="1"/>
      <c r="K47" s="18"/>
      <c r="L47" s="2"/>
      <c r="M47" s="130"/>
      <c r="N47" s="15"/>
      <c r="O47" s="15"/>
      <c r="Q47" s="1"/>
      <c r="R47" s="18"/>
      <c r="S47" s="131"/>
      <c r="T47" s="130"/>
    </row>
    <row r="48" spans="3:20" ht="16" customHeight="1" x14ac:dyDescent="0.2">
      <c r="C48" s="1"/>
      <c r="D48" s="18"/>
      <c r="E48" s="2"/>
      <c r="F48" s="130"/>
      <c r="G48" s="2"/>
      <c r="H48" s="2"/>
      <c r="I48" s="15"/>
      <c r="J48" s="1"/>
      <c r="K48" s="18"/>
      <c r="L48" s="2"/>
      <c r="M48" s="130"/>
      <c r="N48" s="15"/>
      <c r="O48" s="15"/>
      <c r="Q48" s="1"/>
      <c r="R48" s="18"/>
      <c r="S48" s="131"/>
      <c r="T48" s="130"/>
    </row>
    <row r="49" spans="3:20" ht="16" customHeight="1" x14ac:dyDescent="0.2">
      <c r="C49" s="1"/>
      <c r="D49" s="18"/>
      <c r="E49" s="2"/>
      <c r="F49" s="130"/>
      <c r="G49" s="2"/>
      <c r="H49" s="2"/>
      <c r="I49" s="14"/>
      <c r="J49" s="1"/>
      <c r="K49" s="18"/>
      <c r="L49" s="2"/>
      <c r="M49" s="130"/>
      <c r="N49" s="14"/>
      <c r="O49" s="14"/>
      <c r="Q49" s="1"/>
      <c r="R49" s="18"/>
      <c r="S49" s="131"/>
      <c r="T49" s="130"/>
    </row>
    <row r="50" spans="3:20" ht="16" customHeight="1" x14ac:dyDescent="0.2">
      <c r="C50" s="1"/>
      <c r="D50" s="18"/>
      <c r="E50" s="2"/>
      <c r="F50" s="130"/>
      <c r="G50" s="2"/>
      <c r="H50" s="2"/>
      <c r="I50" s="14"/>
      <c r="J50" s="1"/>
      <c r="K50" s="18"/>
      <c r="L50" s="2"/>
      <c r="M50" s="130"/>
      <c r="N50" s="14"/>
      <c r="O50" s="14"/>
      <c r="Q50" s="1"/>
      <c r="R50" s="18"/>
      <c r="S50" s="131"/>
      <c r="T50" s="130"/>
    </row>
    <row r="51" spans="3:20" ht="16" customHeight="1" x14ac:dyDescent="0.2">
      <c r="C51" s="1"/>
      <c r="D51" s="18"/>
      <c r="E51" s="2"/>
      <c r="F51" s="130"/>
      <c r="G51" s="2"/>
      <c r="H51" s="2"/>
      <c r="I51" s="15"/>
      <c r="J51" s="1"/>
      <c r="K51" s="2"/>
      <c r="L51" s="18"/>
      <c r="M51" s="132"/>
      <c r="N51" s="15"/>
      <c r="O51" s="15"/>
      <c r="Q51" s="1"/>
      <c r="R51" s="18"/>
      <c r="S51" s="131"/>
      <c r="T51" s="130"/>
    </row>
    <row r="52" spans="3:20" ht="16" customHeight="1" x14ac:dyDescent="0.2">
      <c r="C52" s="1"/>
      <c r="D52" s="18"/>
      <c r="E52" s="2"/>
      <c r="F52" s="130"/>
      <c r="G52" s="2"/>
      <c r="H52" s="2"/>
      <c r="I52" s="15"/>
      <c r="J52" s="15"/>
      <c r="K52" s="15"/>
      <c r="L52" s="15"/>
      <c r="M52" s="15"/>
      <c r="N52" s="15"/>
      <c r="O52" s="15"/>
      <c r="Q52" s="1"/>
      <c r="R52" s="18"/>
      <c r="S52" s="131"/>
      <c r="T52" s="130"/>
    </row>
    <row r="53" spans="3:20" ht="16" customHeight="1" x14ac:dyDescent="0.2">
      <c r="C53" s="1"/>
      <c r="D53" s="18"/>
      <c r="E53" s="2"/>
      <c r="F53" s="130"/>
      <c r="G53" s="2"/>
      <c r="H53" s="2"/>
      <c r="I53" s="15"/>
      <c r="J53" s="1"/>
      <c r="K53" s="18"/>
      <c r="L53" s="18"/>
      <c r="M53" s="130"/>
      <c r="N53" s="15"/>
      <c r="O53" s="15"/>
      <c r="Q53" s="1"/>
      <c r="R53" s="18"/>
      <c r="S53" s="131"/>
      <c r="T53" s="130"/>
    </row>
    <row r="54" spans="3:20" ht="16" customHeight="1" x14ac:dyDescent="0.2">
      <c r="C54" s="1"/>
      <c r="D54" s="18"/>
      <c r="E54" s="2"/>
      <c r="F54" s="130"/>
      <c r="G54" s="2"/>
      <c r="H54" s="2"/>
      <c r="I54" s="14"/>
      <c r="J54" s="1"/>
      <c r="K54" s="18"/>
      <c r="L54" s="18"/>
      <c r="M54" s="130"/>
      <c r="N54" s="16"/>
      <c r="O54" s="16"/>
      <c r="Q54" s="1"/>
      <c r="R54" s="18"/>
      <c r="S54" s="131"/>
      <c r="T54" s="130"/>
    </row>
    <row r="55" spans="3:20" ht="16" customHeight="1" x14ac:dyDescent="0.2">
      <c r="C55" s="1"/>
      <c r="D55" s="18"/>
      <c r="E55" s="2"/>
      <c r="F55" s="130"/>
      <c r="G55" s="2"/>
      <c r="H55" s="2"/>
      <c r="I55" s="14"/>
      <c r="J55" s="1"/>
      <c r="K55" s="18"/>
      <c r="L55" s="18"/>
      <c r="M55" s="130"/>
      <c r="N55" s="2"/>
      <c r="O55" s="2"/>
      <c r="Q55" s="1"/>
      <c r="R55" s="18"/>
      <c r="S55" s="131"/>
      <c r="T55" s="130"/>
    </row>
    <row r="56" spans="3:20" ht="16" customHeight="1" x14ac:dyDescent="0.2">
      <c r="C56" s="1"/>
      <c r="D56" s="18"/>
      <c r="E56" s="2"/>
      <c r="F56" s="130"/>
      <c r="G56" s="2"/>
      <c r="H56" s="2"/>
      <c r="I56" s="15"/>
      <c r="J56" s="2"/>
      <c r="K56" s="18"/>
      <c r="L56" s="18"/>
      <c r="M56" s="132"/>
      <c r="N56" s="2"/>
      <c r="O56" s="2"/>
      <c r="Q56" s="2"/>
      <c r="R56" s="18"/>
      <c r="S56" s="18"/>
      <c r="T56" s="132"/>
    </row>
    <row r="57" spans="3:20" ht="16" customHeight="1" x14ac:dyDescent="0.2">
      <c r="C57" s="1"/>
      <c r="D57" s="18"/>
      <c r="E57" s="2"/>
      <c r="F57" s="130"/>
      <c r="G57" s="2"/>
      <c r="H57" s="2"/>
      <c r="I57" s="15"/>
      <c r="J57" s="2"/>
      <c r="K57" s="2"/>
      <c r="L57" s="2"/>
      <c r="M57" s="2"/>
      <c r="N57" s="2"/>
      <c r="O57" s="2"/>
      <c r="Q57" s="2"/>
      <c r="R57" s="2"/>
      <c r="S57" s="2"/>
      <c r="T57" s="2"/>
    </row>
    <row r="58" spans="3:20" ht="16" customHeight="1" x14ac:dyDescent="0.2">
      <c r="C58" s="1"/>
      <c r="D58" s="18"/>
      <c r="E58" s="2"/>
      <c r="F58" s="130"/>
      <c r="G58" s="2"/>
      <c r="H58" s="2"/>
      <c r="I58" s="15"/>
      <c r="J58" s="2"/>
      <c r="K58" s="2"/>
      <c r="L58" s="2"/>
      <c r="M58" s="2"/>
      <c r="N58" s="2"/>
      <c r="O58" s="2"/>
      <c r="Q58" s="2"/>
      <c r="R58" s="2"/>
      <c r="S58" s="2"/>
      <c r="T58" s="2"/>
    </row>
    <row r="59" spans="3:20" ht="16" customHeight="1" x14ac:dyDescent="0.2">
      <c r="C59" s="1"/>
      <c r="D59" s="18"/>
      <c r="E59" s="2"/>
      <c r="F59" s="130"/>
      <c r="G59" s="2"/>
      <c r="H59" s="2"/>
      <c r="I59" s="16"/>
      <c r="J59" s="2"/>
      <c r="K59" s="2"/>
      <c r="L59" s="2"/>
      <c r="M59" s="2"/>
      <c r="N59" s="2"/>
      <c r="O59" s="2"/>
      <c r="Q59" s="2"/>
      <c r="R59" s="2"/>
      <c r="S59" s="2"/>
      <c r="T59" s="2"/>
    </row>
    <row r="60" spans="3:20" ht="16" customHeight="1" x14ac:dyDescent="0.2">
      <c r="C60" s="1"/>
      <c r="D60" s="2"/>
      <c r="E60" s="18"/>
      <c r="F60" s="132"/>
      <c r="G60" s="2"/>
      <c r="H60" s="2"/>
      <c r="I60" s="2"/>
      <c r="J60" s="2"/>
      <c r="K60" s="2"/>
      <c r="L60" s="2"/>
      <c r="M60" s="2"/>
      <c r="N60" s="2"/>
      <c r="O60" s="2"/>
      <c r="Q60" s="2"/>
      <c r="R60" s="2"/>
      <c r="S60" s="2"/>
      <c r="T60" s="2"/>
    </row>
    <row r="61" spans="3:20" ht="16" customHeight="1" x14ac:dyDescent="0.2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Q61" s="2"/>
      <c r="R61" s="2"/>
      <c r="S61" s="2"/>
      <c r="T61" s="2"/>
    </row>
    <row r="62" spans="3:20" ht="16" customHeight="1" x14ac:dyDescent="0.2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Q62" s="2"/>
      <c r="R62" s="2"/>
      <c r="S62" s="2"/>
      <c r="T62" s="2"/>
    </row>
    <row r="63" spans="3:20" ht="16" customHeight="1" x14ac:dyDescent="0.2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Q63" s="2"/>
      <c r="R63" s="2"/>
      <c r="S63" s="2"/>
      <c r="T63" s="2"/>
    </row>
    <row r="64" spans="3:20" ht="16" customHeight="1" x14ac:dyDescent="0.2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Q64" s="2"/>
      <c r="R64" s="2"/>
      <c r="S64" s="2"/>
      <c r="T64" s="2"/>
    </row>
    <row r="65" spans="3:20" ht="16" customHeight="1" x14ac:dyDescent="0.2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Q65" s="2"/>
      <c r="R65" s="2"/>
      <c r="S65" s="2"/>
      <c r="T65" s="2"/>
    </row>
    <row r="66" spans="3:20" ht="16" customHeight="1" x14ac:dyDescent="0.2"/>
    <row r="67" spans="3:20" ht="16" customHeight="1" x14ac:dyDescent="0.2"/>
    <row r="68" spans="3:20" ht="16" customHeight="1" x14ac:dyDescent="0.2"/>
    <row r="69" spans="3:20" ht="16" customHeight="1" x14ac:dyDescent="0.2"/>
    <row r="70" spans="3:20" ht="16" customHeight="1" x14ac:dyDescent="0.2"/>
    <row r="71" spans="3:20" ht="16" customHeight="1" x14ac:dyDescent="0.2"/>
  </sheetData>
  <mergeCells count="32">
    <mergeCell ref="D21:E21"/>
    <mergeCell ref="J25:M25"/>
    <mergeCell ref="J23:M23"/>
    <mergeCell ref="J21:M21"/>
    <mergeCell ref="H25:I25"/>
    <mergeCell ref="H23:I23"/>
    <mergeCell ref="H21:I21"/>
    <mergeCell ref="Q26:R26"/>
    <mergeCell ref="Q18:R18"/>
    <mergeCell ref="C9:E11"/>
    <mergeCell ref="F9:G11"/>
    <mergeCell ref="F14:G16"/>
    <mergeCell ref="M14:N16"/>
    <mergeCell ref="J14:L16"/>
    <mergeCell ref="J9:L11"/>
    <mergeCell ref="M9:N11"/>
    <mergeCell ref="C14:E14"/>
    <mergeCell ref="C15:E15"/>
    <mergeCell ref="C16:E16"/>
    <mergeCell ref="D25:E25"/>
    <mergeCell ref="D24:E24"/>
    <mergeCell ref="D23:E23"/>
    <mergeCell ref="D22:E22"/>
    <mergeCell ref="V7:W7"/>
    <mergeCell ref="V20:W20"/>
    <mergeCell ref="AH3:AK3"/>
    <mergeCell ref="C4:E6"/>
    <mergeCell ref="F4:G6"/>
    <mergeCell ref="M4:N6"/>
    <mergeCell ref="J4:L6"/>
    <mergeCell ref="H20:M20"/>
    <mergeCell ref="D20:F20"/>
  </mergeCells>
  <conditionalFormatting sqref="F21:F22">
    <cfRule type="cellIs" dxfId="5" priority="7" operator="greaterThan">
      <formula>75%</formula>
    </cfRule>
    <cfRule type="cellIs" dxfId="4" priority="8" operator="between">
      <formula>50%</formula>
      <formula>75%</formula>
    </cfRule>
    <cfRule type="cellIs" dxfId="3" priority="9" operator="lessThanOrEqual">
      <formula>50%</formula>
    </cfRule>
  </conditionalFormatting>
  <conditionalFormatting sqref="F23:F25">
    <cfRule type="cellIs" dxfId="2" priority="4" operator="greaterThan">
      <formula>75%</formula>
    </cfRule>
    <cfRule type="cellIs" dxfId="1" priority="5" operator="between">
      <formula>50%</formula>
      <formula>75%</formula>
    </cfRule>
    <cfRule type="cellIs" dxfId="0" priority="6" operator="lessThanOrEqual">
      <formula>50%</formula>
    </cfRule>
  </conditionalFormatting>
  <pageMargins left="0.7" right="0.7" top="0.75" bottom="0.75" header="0.3" footer="0.3"/>
  <ignoredErrors>
    <ignoredError sqref="X11 S22 S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opLeftCell="B31" zoomScale="80" zoomScaleNormal="80" zoomScalePageLayoutView="80" workbookViewId="0">
      <selection activeCell="AA53" sqref="AA53"/>
    </sheetView>
  </sheetViews>
  <sheetFormatPr baseColWidth="10" defaultRowHeight="16" x14ac:dyDescent="0.2"/>
  <cols>
    <col min="1" max="1" width="12.5" style="4" bestFit="1" customWidth="1"/>
    <col min="2" max="2" width="10.83203125" style="4"/>
    <col min="3" max="3" width="12.6640625" style="4" bestFit="1" customWidth="1"/>
    <col min="4" max="5" width="13.33203125" style="4" bestFit="1" customWidth="1"/>
    <col min="6" max="6" width="10.83203125" style="4"/>
    <col min="7" max="7" width="12.5" style="4" bestFit="1" customWidth="1"/>
    <col min="8" max="10" width="10.83203125" style="4"/>
    <col min="11" max="11" width="12.33203125" style="4" bestFit="1" customWidth="1"/>
    <col min="12" max="12" width="10.83203125" style="4"/>
    <col min="13" max="13" width="11.83203125" style="4" bestFit="1" customWidth="1"/>
    <col min="14" max="19" width="10.83203125" style="4"/>
    <col min="20" max="20" width="12.5" style="4" bestFit="1" customWidth="1"/>
    <col min="21" max="23" width="10.83203125" style="4"/>
    <col min="24" max="24" width="12.5" style="4" bestFit="1" customWidth="1"/>
    <col min="25" max="25" width="10.83203125" style="4"/>
    <col min="26" max="26" width="11.5" style="4" bestFit="1" customWidth="1"/>
    <col min="27" max="16384" width="10.83203125" style="4"/>
  </cols>
  <sheetData>
    <row r="1" spans="1:26" ht="17" thickBot="1" x14ac:dyDescent="0.25">
      <c r="B1" s="20" t="s">
        <v>44</v>
      </c>
      <c r="H1" s="20" t="s">
        <v>47</v>
      </c>
      <c r="U1" s="20" t="s">
        <v>39</v>
      </c>
    </row>
    <row r="2" spans="1:26" ht="17" thickBot="1" x14ac:dyDescent="0.25">
      <c r="A2" s="19" t="s">
        <v>49</v>
      </c>
      <c r="B2" s="148"/>
      <c r="C2" s="29" t="s">
        <v>32</v>
      </c>
      <c r="D2" s="121" t="s">
        <v>33</v>
      </c>
      <c r="E2" s="122" t="s">
        <v>34</v>
      </c>
      <c r="G2" s="19" t="s">
        <v>49</v>
      </c>
      <c r="H2" s="148"/>
      <c r="I2" s="50" t="s">
        <v>3</v>
      </c>
      <c r="J2" s="50" t="s">
        <v>4</v>
      </c>
      <c r="K2" s="50" t="s">
        <v>5</v>
      </c>
      <c r="L2" s="50" t="s">
        <v>6</v>
      </c>
      <c r="M2" s="50" t="s">
        <v>7</v>
      </c>
      <c r="N2" s="50" t="s">
        <v>8</v>
      </c>
      <c r="O2" s="50" t="s">
        <v>9</v>
      </c>
      <c r="P2" s="50" t="s">
        <v>10</v>
      </c>
      <c r="Q2" s="50" t="s">
        <v>11</v>
      </c>
      <c r="R2" s="51" t="s">
        <v>12</v>
      </c>
      <c r="T2" s="19" t="s">
        <v>49</v>
      </c>
      <c r="U2" s="148"/>
      <c r="V2" s="50" t="s">
        <v>18</v>
      </c>
      <c r="W2" s="50" t="s">
        <v>21</v>
      </c>
      <c r="X2" s="50" t="s">
        <v>23</v>
      </c>
      <c r="Y2" s="50" t="s">
        <v>25</v>
      </c>
      <c r="Z2" s="51" t="s">
        <v>30</v>
      </c>
    </row>
    <row r="3" spans="1:26" x14ac:dyDescent="0.2">
      <c r="B3" s="118">
        <v>1</v>
      </c>
      <c r="C3" s="38">
        <f>($C$47/45)*B3</f>
        <v>0.1111111111111111</v>
      </c>
      <c r="D3" s="39">
        <f t="shared" ref="D3:D15" si="0">($D$47/45)*B3</f>
        <v>0.13311111111111112</v>
      </c>
      <c r="E3" s="40">
        <f t="shared" ref="E3:E21" si="1">($E$22/20)*B3</f>
        <v>0.05</v>
      </c>
      <c r="H3" s="35">
        <v>1</v>
      </c>
      <c r="I3" s="76">
        <v>0.2</v>
      </c>
      <c r="J3" s="77">
        <v>0.25</v>
      </c>
      <c r="K3" s="77">
        <v>0.1</v>
      </c>
      <c r="L3" s="77">
        <v>0.05</v>
      </c>
      <c r="M3" s="77">
        <f>($M$6/4)*H3</f>
        <v>0.2475</v>
      </c>
      <c r="N3" s="77">
        <f>($N$6/4)*H3</f>
        <v>0.625</v>
      </c>
      <c r="O3" s="77">
        <f>($O$6/4)*H3</f>
        <v>1</v>
      </c>
      <c r="P3" s="77">
        <v>0.1</v>
      </c>
      <c r="Q3" s="77">
        <v>0.5</v>
      </c>
      <c r="R3" s="78">
        <v>0.05</v>
      </c>
      <c r="U3" s="35">
        <v>1</v>
      </c>
      <c r="V3" s="76">
        <f>($V$6/4)*U3</f>
        <v>0.5</v>
      </c>
      <c r="W3" s="77">
        <f>(W4/2)*U3</f>
        <v>1.375</v>
      </c>
      <c r="X3" s="77">
        <f>($X$4/2)*U3</f>
        <v>0.245</v>
      </c>
      <c r="Y3" s="77">
        <v>0.25</v>
      </c>
      <c r="Z3" s="78">
        <f>($Z$4/2)*U3</f>
        <v>1.375</v>
      </c>
    </row>
    <row r="4" spans="1:26" x14ac:dyDescent="0.2">
      <c r="B4" s="119">
        <v>2</v>
      </c>
      <c r="C4" s="41">
        <f t="shared" ref="C4:C46" si="2">($C$47/45)*B4</f>
        <v>0.22222222222222221</v>
      </c>
      <c r="D4" s="37">
        <f t="shared" si="0"/>
        <v>0.26622222222222225</v>
      </c>
      <c r="E4" s="42">
        <f t="shared" si="1"/>
        <v>0.1</v>
      </c>
      <c r="H4" s="35">
        <v>2</v>
      </c>
      <c r="I4" s="70">
        <v>0.23</v>
      </c>
      <c r="J4" s="57">
        <v>0.28000000000000003</v>
      </c>
      <c r="K4" s="58">
        <v>0.15</v>
      </c>
      <c r="L4" s="56">
        <v>0.05</v>
      </c>
      <c r="M4" s="77">
        <f>($M$6/4)*H4</f>
        <v>0.495</v>
      </c>
      <c r="N4" s="56">
        <f>($N$6/4)*H4</f>
        <v>1.25</v>
      </c>
      <c r="O4" s="56">
        <f>($O$6/4)*H4</f>
        <v>2</v>
      </c>
      <c r="P4" s="58">
        <v>0.15</v>
      </c>
      <c r="Q4" s="58">
        <v>0.6</v>
      </c>
      <c r="R4" s="64">
        <v>0.1</v>
      </c>
      <c r="U4" s="35">
        <v>2</v>
      </c>
      <c r="V4" s="76">
        <f>($V$6/4)*U4</f>
        <v>1</v>
      </c>
      <c r="W4" s="60">
        <v>2.75</v>
      </c>
      <c r="X4" s="58">
        <v>0.49</v>
      </c>
      <c r="Y4" s="60">
        <v>0.5</v>
      </c>
      <c r="Z4" s="88">
        <v>2.75</v>
      </c>
    </row>
    <row r="5" spans="1:26" x14ac:dyDescent="0.2">
      <c r="B5" s="119">
        <v>3</v>
      </c>
      <c r="C5" s="41">
        <f t="shared" si="2"/>
        <v>0.33333333333333331</v>
      </c>
      <c r="D5" s="37">
        <f t="shared" si="0"/>
        <v>0.39933333333333337</v>
      </c>
      <c r="E5" s="42">
        <f t="shared" si="1"/>
        <v>0.15000000000000002</v>
      </c>
      <c r="H5" s="35">
        <v>3</v>
      </c>
      <c r="I5" s="71">
        <v>0.23</v>
      </c>
      <c r="J5" s="58">
        <v>0.28000000000000003</v>
      </c>
      <c r="K5" s="56">
        <v>0.25</v>
      </c>
      <c r="L5" s="58">
        <v>0.1</v>
      </c>
      <c r="M5" s="77">
        <f>($M$6/4)*H5</f>
        <v>0.74249999999999994</v>
      </c>
      <c r="N5" s="56">
        <f>($N$6/4)*H5</f>
        <v>1.875</v>
      </c>
      <c r="O5" s="56">
        <f>($O$6/4)*H5</f>
        <v>3</v>
      </c>
      <c r="P5" s="59">
        <v>0.2</v>
      </c>
      <c r="Q5" s="56">
        <v>0.8</v>
      </c>
      <c r="R5" s="65">
        <v>0.15</v>
      </c>
      <c r="U5" s="35">
        <v>3</v>
      </c>
      <c r="V5" s="76">
        <f>($V$6/4)*U5</f>
        <v>1.5</v>
      </c>
      <c r="W5" s="57">
        <v>2.75</v>
      </c>
      <c r="X5" s="56">
        <v>0.64</v>
      </c>
      <c r="Y5" s="56">
        <v>0.75</v>
      </c>
      <c r="Z5" s="64">
        <v>3.2</v>
      </c>
    </row>
    <row r="6" spans="1:26" x14ac:dyDescent="0.2">
      <c r="B6" s="119">
        <v>4</v>
      </c>
      <c r="C6" s="41">
        <f t="shared" si="2"/>
        <v>0.44444444444444442</v>
      </c>
      <c r="D6" s="37">
        <f t="shared" si="0"/>
        <v>0.5324444444444445</v>
      </c>
      <c r="E6" s="42">
        <f t="shared" si="1"/>
        <v>0.2</v>
      </c>
      <c r="H6" s="35">
        <v>4</v>
      </c>
      <c r="I6" s="72">
        <v>0.34</v>
      </c>
      <c r="J6" s="59">
        <v>0.33</v>
      </c>
      <c r="K6" s="59">
        <v>0.3</v>
      </c>
      <c r="L6" s="59">
        <v>0.1</v>
      </c>
      <c r="M6" s="60">
        <v>0.99</v>
      </c>
      <c r="N6" s="60">
        <v>2.5</v>
      </c>
      <c r="O6" s="60">
        <v>4</v>
      </c>
      <c r="P6" s="56"/>
      <c r="Q6" s="56">
        <v>1</v>
      </c>
      <c r="R6" s="66">
        <v>0.45</v>
      </c>
      <c r="U6" s="35">
        <v>4</v>
      </c>
      <c r="V6" s="90">
        <v>2</v>
      </c>
      <c r="W6" s="58">
        <v>2.75</v>
      </c>
      <c r="X6" s="59">
        <v>0.79</v>
      </c>
      <c r="Y6" s="57">
        <v>1</v>
      </c>
      <c r="Z6" s="66">
        <v>3.74</v>
      </c>
    </row>
    <row r="7" spans="1:26" x14ac:dyDescent="0.2">
      <c r="B7" s="119">
        <v>5</v>
      </c>
      <c r="C7" s="41">
        <f t="shared" si="2"/>
        <v>0.55555555555555558</v>
      </c>
      <c r="D7" s="123">
        <f t="shared" si="0"/>
        <v>0.66555555555555568</v>
      </c>
      <c r="E7" s="42">
        <f t="shared" si="1"/>
        <v>0.25</v>
      </c>
      <c r="H7" s="35">
        <v>5</v>
      </c>
      <c r="I7" s="73">
        <v>0.99</v>
      </c>
      <c r="J7" s="56"/>
      <c r="K7" s="56"/>
      <c r="L7" s="56"/>
      <c r="M7" s="57">
        <v>0.99</v>
      </c>
      <c r="N7" s="57">
        <v>3</v>
      </c>
      <c r="O7" s="57">
        <v>4.49</v>
      </c>
      <c r="P7" s="56"/>
      <c r="Q7" s="59">
        <v>1.1399999999999999</v>
      </c>
      <c r="R7" s="65"/>
      <c r="U7" s="35">
        <v>5</v>
      </c>
      <c r="V7" s="70">
        <v>2.25</v>
      </c>
      <c r="W7" s="59">
        <v>3</v>
      </c>
      <c r="X7" s="61">
        <v>1</v>
      </c>
      <c r="Y7" s="58">
        <v>1.25</v>
      </c>
      <c r="Z7" s="65"/>
    </row>
    <row r="8" spans="1:26" x14ac:dyDescent="0.2">
      <c r="B8" s="119">
        <v>6</v>
      </c>
      <c r="C8" s="41">
        <f t="shared" si="2"/>
        <v>0.66666666666666663</v>
      </c>
      <c r="D8" s="37">
        <f t="shared" si="0"/>
        <v>0.79866666666666675</v>
      </c>
      <c r="E8" s="42">
        <f t="shared" si="1"/>
        <v>0.30000000000000004</v>
      </c>
      <c r="H8" s="35">
        <v>6</v>
      </c>
      <c r="I8" s="74"/>
      <c r="J8" s="56"/>
      <c r="K8" s="56"/>
      <c r="L8" s="56"/>
      <c r="M8" s="58">
        <v>0.99</v>
      </c>
      <c r="N8" s="58">
        <v>3</v>
      </c>
      <c r="O8" s="56"/>
      <c r="P8" s="56"/>
      <c r="Q8" s="56"/>
      <c r="R8" s="65"/>
      <c r="U8" s="35">
        <v>6</v>
      </c>
      <c r="V8" s="71">
        <v>2.75</v>
      </c>
      <c r="W8" s="61">
        <v>3.25</v>
      </c>
      <c r="X8" s="56"/>
      <c r="Y8" s="59">
        <v>1.25</v>
      </c>
      <c r="Z8" s="65"/>
    </row>
    <row r="9" spans="1:26" ht="17" thickBot="1" x14ac:dyDescent="0.25">
      <c r="B9" s="119">
        <v>7</v>
      </c>
      <c r="C9" s="41">
        <f t="shared" si="2"/>
        <v>0.77777777777777768</v>
      </c>
      <c r="D9" s="37">
        <f t="shared" si="0"/>
        <v>0.93177777777777782</v>
      </c>
      <c r="E9" s="42">
        <f t="shared" si="1"/>
        <v>0.35000000000000003</v>
      </c>
      <c r="H9" s="36">
        <v>7</v>
      </c>
      <c r="I9" s="75"/>
      <c r="J9" s="67"/>
      <c r="K9" s="67"/>
      <c r="L9" s="67"/>
      <c r="M9" s="68">
        <v>0.99</v>
      </c>
      <c r="N9" s="67"/>
      <c r="O9" s="67"/>
      <c r="P9" s="67"/>
      <c r="Q9" s="67"/>
      <c r="R9" s="69"/>
      <c r="U9" s="36">
        <v>7</v>
      </c>
      <c r="V9" s="91">
        <v>2.75</v>
      </c>
      <c r="W9" s="67"/>
      <c r="X9" s="67"/>
      <c r="Y9" s="89">
        <v>1.25</v>
      </c>
      <c r="Z9" s="69"/>
    </row>
    <row r="10" spans="1:26" x14ac:dyDescent="0.2">
      <c r="B10" s="119">
        <v>8</v>
      </c>
      <c r="C10" s="41">
        <f t="shared" si="2"/>
        <v>0.88888888888888884</v>
      </c>
      <c r="D10" s="37">
        <f t="shared" si="0"/>
        <v>1.064888888888889</v>
      </c>
      <c r="E10" s="42">
        <f t="shared" si="1"/>
        <v>0.4</v>
      </c>
      <c r="H10" s="27"/>
    </row>
    <row r="11" spans="1:26" x14ac:dyDescent="0.2">
      <c r="B11" s="119">
        <v>9</v>
      </c>
      <c r="C11" s="41">
        <f t="shared" si="2"/>
        <v>1</v>
      </c>
      <c r="D11" s="37">
        <f t="shared" si="0"/>
        <v>1.1980000000000002</v>
      </c>
      <c r="E11" s="42">
        <f t="shared" si="1"/>
        <v>0.45</v>
      </c>
    </row>
    <row r="12" spans="1:26" ht="17" thickBot="1" x14ac:dyDescent="0.25">
      <c r="B12" s="119">
        <v>10</v>
      </c>
      <c r="C12" s="41">
        <f t="shared" si="2"/>
        <v>1.1111111111111112</v>
      </c>
      <c r="D12" s="124">
        <f t="shared" si="0"/>
        <v>1.3311111111111114</v>
      </c>
      <c r="E12" s="42">
        <f t="shared" si="1"/>
        <v>0.5</v>
      </c>
      <c r="H12" s="92" t="s">
        <v>38</v>
      </c>
    </row>
    <row r="13" spans="1:26" ht="17" thickBot="1" x14ac:dyDescent="0.25">
      <c r="B13" s="119">
        <v>11</v>
      </c>
      <c r="C13" s="41">
        <f t="shared" si="2"/>
        <v>1.2222222222222221</v>
      </c>
      <c r="D13" s="37">
        <f t="shared" si="0"/>
        <v>1.4642222222222223</v>
      </c>
      <c r="E13" s="42">
        <f t="shared" si="1"/>
        <v>0.55000000000000004</v>
      </c>
      <c r="G13" s="52" t="s">
        <v>49</v>
      </c>
      <c r="H13" s="165"/>
      <c r="I13" s="53" t="s">
        <v>13</v>
      </c>
      <c r="J13" s="54" t="s">
        <v>14</v>
      </c>
      <c r="K13" s="54" t="s">
        <v>15</v>
      </c>
      <c r="L13" s="54" t="s">
        <v>16</v>
      </c>
      <c r="M13" s="54" t="s">
        <v>17</v>
      </c>
      <c r="N13" s="54" t="s">
        <v>19</v>
      </c>
      <c r="O13" s="54" t="s">
        <v>20</v>
      </c>
      <c r="P13" s="54" t="s">
        <v>22</v>
      </c>
      <c r="Q13" s="54" t="s">
        <v>24</v>
      </c>
      <c r="R13" s="54" t="s">
        <v>26</v>
      </c>
      <c r="S13" s="54" t="s">
        <v>27</v>
      </c>
      <c r="T13" s="54" t="s">
        <v>28</v>
      </c>
      <c r="U13" s="54" t="s">
        <v>29</v>
      </c>
      <c r="V13" s="55" t="s">
        <v>31</v>
      </c>
      <c r="X13" s="243" t="s">
        <v>54</v>
      </c>
      <c r="Y13" s="244"/>
      <c r="Z13" s="245"/>
    </row>
    <row r="14" spans="1:26" x14ac:dyDescent="0.2">
      <c r="B14" s="119">
        <v>12</v>
      </c>
      <c r="C14" s="41">
        <f t="shared" si="2"/>
        <v>1.3333333333333333</v>
      </c>
      <c r="D14" s="37">
        <f t="shared" si="0"/>
        <v>1.5973333333333335</v>
      </c>
      <c r="E14" s="42">
        <f t="shared" si="1"/>
        <v>0.60000000000000009</v>
      </c>
      <c r="H14" s="118">
        <v>1</v>
      </c>
      <c r="I14" s="93">
        <f>($I$17/4)*$H14</f>
        <v>0.02</v>
      </c>
      <c r="J14" s="83">
        <f>($J$17/4)*$H14</f>
        <v>0.02</v>
      </c>
      <c r="K14" s="83">
        <f>($K$17/4)*$H14</f>
        <v>0.25</v>
      </c>
      <c r="L14" s="83">
        <v>0.01</v>
      </c>
      <c r="M14" s="83">
        <v>0.1</v>
      </c>
      <c r="N14" s="83">
        <v>0.5</v>
      </c>
      <c r="O14" s="83">
        <v>0.3</v>
      </c>
      <c r="P14" s="94">
        <v>0.25</v>
      </c>
      <c r="Q14" s="83">
        <v>0.1</v>
      </c>
      <c r="R14" s="83">
        <v>0.75</v>
      </c>
      <c r="S14" s="83">
        <v>0.5</v>
      </c>
      <c r="T14" s="83">
        <v>0.45</v>
      </c>
      <c r="U14" s="83">
        <v>0.1</v>
      </c>
      <c r="V14" s="95">
        <v>0.15</v>
      </c>
      <c r="X14" s="149" t="s">
        <v>37</v>
      </c>
      <c r="Y14" s="17" t="s">
        <v>55</v>
      </c>
      <c r="Z14" s="8" t="s">
        <v>56</v>
      </c>
    </row>
    <row r="15" spans="1:26" x14ac:dyDescent="0.2">
      <c r="B15" s="119">
        <v>13</v>
      </c>
      <c r="C15" s="41">
        <f t="shared" si="2"/>
        <v>1.4444444444444444</v>
      </c>
      <c r="D15" s="37">
        <f t="shared" si="0"/>
        <v>1.7304444444444447</v>
      </c>
      <c r="E15" s="42">
        <f t="shared" si="1"/>
        <v>0.65</v>
      </c>
      <c r="H15" s="119">
        <v>2</v>
      </c>
      <c r="I15" s="96">
        <f>($I$17/4)*$H15</f>
        <v>0.04</v>
      </c>
      <c r="J15" s="84">
        <f>($J$17/4)*$H15</f>
        <v>0.04</v>
      </c>
      <c r="K15" s="84">
        <f>($K$17/4)*$H15</f>
        <v>0.5</v>
      </c>
      <c r="L15" s="84">
        <v>0.02</v>
      </c>
      <c r="M15" s="84">
        <v>0.2</v>
      </c>
      <c r="N15" s="84">
        <v>1</v>
      </c>
      <c r="O15" s="97">
        <v>0.6</v>
      </c>
      <c r="P15" s="84">
        <v>0.5</v>
      </c>
      <c r="Q15" s="98">
        <v>0.2</v>
      </c>
      <c r="R15" s="97">
        <v>1.5</v>
      </c>
      <c r="S15" s="99">
        <v>0.95</v>
      </c>
      <c r="T15" s="99">
        <v>0.9</v>
      </c>
      <c r="U15" s="100">
        <v>0.2</v>
      </c>
      <c r="V15" s="101">
        <v>0.3</v>
      </c>
      <c r="X15" s="150">
        <v>7</v>
      </c>
      <c r="Y15" s="31">
        <v>5</v>
      </c>
      <c r="Z15" s="32">
        <v>0</v>
      </c>
    </row>
    <row r="16" spans="1:26" x14ac:dyDescent="0.2">
      <c r="B16" s="119">
        <v>14</v>
      </c>
      <c r="C16" s="41">
        <f t="shared" si="2"/>
        <v>1.5555555555555554</v>
      </c>
      <c r="D16" s="37">
        <f t="shared" ref="D16:D46" si="3">($D$47/45)*B16</f>
        <v>1.8635555555555556</v>
      </c>
      <c r="E16" s="42">
        <f t="shared" si="1"/>
        <v>0.70000000000000007</v>
      </c>
      <c r="H16" s="119">
        <v>3</v>
      </c>
      <c r="I16" s="96">
        <f>($I$17/4)*$H16</f>
        <v>0.06</v>
      </c>
      <c r="J16" s="84">
        <f>($J$17/4)*$H16</f>
        <v>0.06</v>
      </c>
      <c r="K16" s="84">
        <f>($K$17/4)*$H16</f>
        <v>0.75</v>
      </c>
      <c r="L16" s="84">
        <v>0.03</v>
      </c>
      <c r="M16" s="84">
        <v>0.3</v>
      </c>
      <c r="N16" s="84">
        <v>1.5</v>
      </c>
      <c r="O16" s="99">
        <v>0.65</v>
      </c>
      <c r="P16" s="99">
        <v>0.99</v>
      </c>
      <c r="Q16" s="84">
        <v>0.3</v>
      </c>
      <c r="R16" s="84">
        <v>1.55</v>
      </c>
      <c r="S16" s="84">
        <v>1.05</v>
      </c>
      <c r="T16" s="84">
        <v>1.1000000000000001</v>
      </c>
      <c r="U16" s="102">
        <v>0.3</v>
      </c>
      <c r="V16" s="103">
        <v>0.75</v>
      </c>
      <c r="X16" s="151">
        <v>8</v>
      </c>
      <c r="Y16" s="31">
        <v>10</v>
      </c>
      <c r="Z16" s="32">
        <v>0</v>
      </c>
    </row>
    <row r="17" spans="2:27" x14ac:dyDescent="0.2">
      <c r="B17" s="119">
        <v>15</v>
      </c>
      <c r="C17" s="41">
        <f t="shared" si="2"/>
        <v>1.6666666666666665</v>
      </c>
      <c r="D17" s="37">
        <f t="shared" si="3"/>
        <v>1.9966666666666668</v>
      </c>
      <c r="E17" s="42">
        <f t="shared" si="1"/>
        <v>0.75</v>
      </c>
      <c r="H17" s="119">
        <v>4</v>
      </c>
      <c r="I17" s="104">
        <v>0.08</v>
      </c>
      <c r="J17" s="97">
        <v>0.08</v>
      </c>
      <c r="K17" s="97">
        <v>1</v>
      </c>
      <c r="L17" s="97">
        <v>0.04</v>
      </c>
      <c r="M17" s="97">
        <v>0.4</v>
      </c>
      <c r="N17" s="97">
        <v>2</v>
      </c>
      <c r="O17" s="100">
        <v>0.7</v>
      </c>
      <c r="P17" s="84">
        <v>0.99</v>
      </c>
      <c r="Q17" s="102">
        <v>0.4</v>
      </c>
      <c r="R17" s="99">
        <v>1.6</v>
      </c>
      <c r="S17" s="100">
        <v>1.1499999999999999</v>
      </c>
      <c r="T17" s="100">
        <v>1.3</v>
      </c>
      <c r="U17" s="84"/>
      <c r="V17" s="86"/>
      <c r="X17" s="152">
        <v>9</v>
      </c>
      <c r="Y17" s="31">
        <v>30</v>
      </c>
      <c r="Z17" s="32">
        <v>30</v>
      </c>
    </row>
    <row r="18" spans="2:27" x14ac:dyDescent="0.2">
      <c r="B18" s="119">
        <v>16</v>
      </c>
      <c r="C18" s="41">
        <f t="shared" si="2"/>
        <v>1.7777777777777777</v>
      </c>
      <c r="D18" s="37">
        <f t="shared" si="3"/>
        <v>2.129777777777778</v>
      </c>
      <c r="E18" s="42">
        <f t="shared" si="1"/>
        <v>0.8</v>
      </c>
      <c r="H18" s="119">
        <v>5</v>
      </c>
      <c r="I18" s="105">
        <v>0.1</v>
      </c>
      <c r="J18" s="99">
        <v>0.1</v>
      </c>
      <c r="K18" s="99">
        <v>1</v>
      </c>
      <c r="L18" s="99">
        <v>0.05</v>
      </c>
      <c r="M18" s="99">
        <v>0.5</v>
      </c>
      <c r="N18" s="99">
        <v>2.15</v>
      </c>
      <c r="O18" s="84"/>
      <c r="P18" s="98">
        <v>0.99</v>
      </c>
      <c r="Q18" s="84"/>
      <c r="R18" s="100">
        <v>1.65</v>
      </c>
      <c r="S18" s="98">
        <v>1.3</v>
      </c>
      <c r="T18" s="98">
        <v>1.55</v>
      </c>
      <c r="U18" s="84"/>
      <c r="V18" s="86"/>
      <c r="X18" s="153">
        <v>10</v>
      </c>
      <c r="Y18" s="31">
        <v>40</v>
      </c>
      <c r="Z18" s="32">
        <v>40</v>
      </c>
    </row>
    <row r="19" spans="2:27" ht="17" thickBot="1" x14ac:dyDescent="0.25">
      <c r="B19" s="119">
        <v>17</v>
      </c>
      <c r="C19" s="41">
        <f t="shared" si="2"/>
        <v>1.8888888888888888</v>
      </c>
      <c r="D19" s="37">
        <f t="shared" si="3"/>
        <v>2.2628888888888889</v>
      </c>
      <c r="E19" s="42">
        <f t="shared" si="1"/>
        <v>0.85000000000000009</v>
      </c>
      <c r="H19" s="119">
        <v>6</v>
      </c>
      <c r="I19" s="106">
        <v>0.1</v>
      </c>
      <c r="J19" s="100">
        <v>0.1</v>
      </c>
      <c r="K19" s="100">
        <v>1</v>
      </c>
      <c r="L19" s="100">
        <v>0.05</v>
      </c>
      <c r="M19" s="98">
        <v>0.5</v>
      </c>
      <c r="N19" s="100">
        <v>2.25</v>
      </c>
      <c r="O19" s="84"/>
      <c r="P19" s="84"/>
      <c r="Q19" s="84"/>
      <c r="R19" s="98">
        <v>1.65</v>
      </c>
      <c r="S19" s="84"/>
      <c r="T19" s="102">
        <v>1.75</v>
      </c>
      <c r="U19" s="84"/>
      <c r="V19" s="86"/>
      <c r="X19" s="154">
        <v>11</v>
      </c>
      <c r="Y19" s="33">
        <v>45</v>
      </c>
      <c r="Z19" s="34">
        <v>45</v>
      </c>
    </row>
    <row r="20" spans="2:27" x14ac:dyDescent="0.2">
      <c r="B20" s="119">
        <v>18</v>
      </c>
      <c r="C20" s="41">
        <f t="shared" si="2"/>
        <v>2</v>
      </c>
      <c r="D20" s="37">
        <f t="shared" si="3"/>
        <v>2.3960000000000004</v>
      </c>
      <c r="E20" s="42">
        <f t="shared" si="1"/>
        <v>0.9</v>
      </c>
      <c r="H20" s="119">
        <v>7</v>
      </c>
      <c r="I20" s="107">
        <v>0.1</v>
      </c>
      <c r="J20" s="98">
        <v>0.1</v>
      </c>
      <c r="K20" s="98">
        <v>1.05</v>
      </c>
      <c r="L20" s="98">
        <v>0.05</v>
      </c>
      <c r="M20" s="108"/>
      <c r="N20" s="98">
        <v>2.2999999999999998</v>
      </c>
      <c r="O20" s="84"/>
      <c r="P20" s="84"/>
      <c r="Q20" s="84"/>
      <c r="R20" s="102">
        <v>1.65</v>
      </c>
      <c r="S20" s="84"/>
      <c r="T20" s="84"/>
      <c r="U20" s="84"/>
      <c r="V20" s="86"/>
    </row>
    <row r="21" spans="2:27" ht="17" thickBot="1" x14ac:dyDescent="0.25">
      <c r="B21" s="119">
        <v>19</v>
      </c>
      <c r="C21" s="41">
        <f t="shared" si="2"/>
        <v>2.1111111111111112</v>
      </c>
      <c r="D21" s="37">
        <f t="shared" si="3"/>
        <v>2.5291111111111113</v>
      </c>
      <c r="E21" s="42">
        <f t="shared" si="1"/>
        <v>0.95000000000000007</v>
      </c>
      <c r="H21" s="120">
        <v>8</v>
      </c>
      <c r="I21" s="109"/>
      <c r="J21" s="85"/>
      <c r="K21" s="110">
        <v>1.1000000000000001</v>
      </c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7"/>
    </row>
    <row r="22" spans="2:27" ht="17" thickBot="1" x14ac:dyDescent="0.25">
      <c r="B22" s="119">
        <v>20</v>
      </c>
      <c r="C22" s="41">
        <f t="shared" si="2"/>
        <v>2.2222222222222223</v>
      </c>
      <c r="D22" s="37">
        <f t="shared" si="3"/>
        <v>2.6622222222222227</v>
      </c>
      <c r="E22" s="46">
        <v>1</v>
      </c>
      <c r="L22" s="5"/>
      <c r="V22" s="5"/>
    </row>
    <row r="23" spans="2:27" ht="17" thickBot="1" x14ac:dyDescent="0.25">
      <c r="B23" s="119">
        <v>21</v>
      </c>
      <c r="C23" s="41">
        <f t="shared" si="2"/>
        <v>2.333333333333333</v>
      </c>
      <c r="D23" s="44">
        <f t="shared" si="3"/>
        <v>2.7953333333333337</v>
      </c>
      <c r="E23" s="47"/>
    </row>
    <row r="24" spans="2:27" ht="17" thickBot="1" x14ac:dyDescent="0.25">
      <c r="B24" s="119">
        <v>22</v>
      </c>
      <c r="C24" s="41">
        <f t="shared" si="2"/>
        <v>2.4444444444444442</v>
      </c>
      <c r="D24" s="44">
        <f t="shared" si="3"/>
        <v>2.9284444444444446</v>
      </c>
      <c r="E24" s="48"/>
      <c r="H24" s="333" t="s">
        <v>50</v>
      </c>
      <c r="I24" s="334"/>
      <c r="J24" s="334"/>
      <c r="K24" s="334"/>
      <c r="L24" s="334"/>
      <c r="M24" s="334"/>
      <c r="N24" s="334"/>
      <c r="O24" s="335"/>
      <c r="T24" s="343" t="s">
        <v>36</v>
      </c>
      <c r="U24" s="344"/>
      <c r="V24" s="345"/>
      <c r="X24" s="343" t="s">
        <v>78</v>
      </c>
      <c r="Y24" s="344"/>
      <c r="Z24" s="344"/>
      <c r="AA24" s="345"/>
    </row>
    <row r="25" spans="2:27" ht="17" thickBot="1" x14ac:dyDescent="0.25">
      <c r="B25" s="119">
        <v>23</v>
      </c>
      <c r="C25" s="41">
        <f t="shared" si="2"/>
        <v>2.5555555555555554</v>
      </c>
      <c r="D25" s="44">
        <f t="shared" si="3"/>
        <v>3.061555555555556</v>
      </c>
      <c r="E25" s="48"/>
      <c r="H25" s="348" t="s">
        <v>51</v>
      </c>
      <c r="I25" s="349"/>
      <c r="J25" s="79" t="s">
        <v>52</v>
      </c>
      <c r="K25" s="79" t="s">
        <v>40</v>
      </c>
      <c r="L25" s="145" t="s">
        <v>44</v>
      </c>
      <c r="M25" s="146" t="s">
        <v>47</v>
      </c>
      <c r="N25" s="146" t="s">
        <v>38</v>
      </c>
      <c r="O25" s="147" t="s">
        <v>39</v>
      </c>
      <c r="Q25" s="338" t="s">
        <v>59</v>
      </c>
      <c r="R25" s="339"/>
      <c r="T25" s="149" t="s">
        <v>37</v>
      </c>
      <c r="U25" s="17" t="s">
        <v>38</v>
      </c>
      <c r="V25" s="8" t="s">
        <v>39</v>
      </c>
      <c r="X25" s="149" t="s">
        <v>37</v>
      </c>
      <c r="Y25" s="17" t="s">
        <v>79</v>
      </c>
      <c r="Z25" s="17" t="s">
        <v>80</v>
      </c>
      <c r="AA25" s="8" t="s">
        <v>81</v>
      </c>
    </row>
    <row r="26" spans="2:27" ht="17" thickBot="1" x14ac:dyDescent="0.25">
      <c r="B26" s="119">
        <v>24</v>
      </c>
      <c r="C26" s="41">
        <f t="shared" si="2"/>
        <v>2.6666666666666665</v>
      </c>
      <c r="D26" s="44">
        <f t="shared" si="3"/>
        <v>3.194666666666667</v>
      </c>
      <c r="E26" s="48"/>
      <c r="H26" s="338">
        <v>7</v>
      </c>
      <c r="I26" s="352"/>
      <c r="J26" s="22"/>
      <c r="K26" s="80">
        <v>7.99</v>
      </c>
      <c r="L26" s="143">
        <f>Breakdown!D7</f>
        <v>0.66555555555555568</v>
      </c>
      <c r="M26" s="142">
        <f>SUM(Breakdown!M6:O6)</f>
        <v>7.49</v>
      </c>
      <c r="N26" s="164">
        <f>SUM(Breakdown!I17:N17)+Breakdown!O15+Breakdown!R15</f>
        <v>5.7</v>
      </c>
      <c r="O26" s="140">
        <f>Breakdown!V6+Breakdown!W4+Breakdown!Y4</f>
        <v>5.25</v>
      </c>
      <c r="Q26" s="336"/>
      <c r="R26" s="337"/>
      <c r="T26" s="150">
        <v>7</v>
      </c>
      <c r="U26" s="155">
        <v>0.05</v>
      </c>
      <c r="V26" s="156">
        <f>1-U26</f>
        <v>0.95</v>
      </c>
      <c r="X26" s="150">
        <v>7</v>
      </c>
      <c r="Y26" s="240">
        <v>40000</v>
      </c>
      <c r="Z26" s="159">
        <f>Y26/$Y$30</f>
        <v>0.36363636363636365</v>
      </c>
      <c r="AA26" s="86">
        <f>$X$26*Z26</f>
        <v>2.5454545454545454</v>
      </c>
    </row>
    <row r="27" spans="2:27" x14ac:dyDescent="0.2">
      <c r="B27" s="119">
        <v>25</v>
      </c>
      <c r="C27" s="41">
        <f t="shared" si="2"/>
        <v>2.7777777777777777</v>
      </c>
      <c r="D27" s="44">
        <f t="shared" si="3"/>
        <v>3.3277777777777779</v>
      </c>
      <c r="E27" s="48"/>
      <c r="H27" s="350">
        <v>8</v>
      </c>
      <c r="I27" s="351"/>
      <c r="J27" s="26"/>
      <c r="K27" s="81">
        <v>8.99</v>
      </c>
      <c r="L27" s="144">
        <f>Breakdown!D12</f>
        <v>1.3311111111111114</v>
      </c>
      <c r="M27" s="135">
        <f>Breakdown!I4+Breakdown!J4+Breakdown!M7+Breakdown!N7+Breakdown!O7</f>
        <v>8.99</v>
      </c>
      <c r="N27" s="163">
        <f>SUM(Breakdown!I18:N18)+SUM(Breakdown!O16:P16)+Breakdown!R17+SUM(Breakdown!S15:T15)</f>
        <v>8.99</v>
      </c>
      <c r="O27" s="141">
        <f>Breakdown!V7+Breakdown!W5+Breakdown!Y6</f>
        <v>6</v>
      </c>
      <c r="T27" s="151">
        <v>8</v>
      </c>
      <c r="U27" s="155">
        <v>0.5</v>
      </c>
      <c r="V27" s="156">
        <f>1-U27</f>
        <v>0.5</v>
      </c>
      <c r="X27" s="151">
        <v>8</v>
      </c>
      <c r="Y27" s="240">
        <v>55000</v>
      </c>
      <c r="Z27" s="159">
        <f>Y27/$Y$30</f>
        <v>0.5</v>
      </c>
      <c r="AA27" s="86">
        <f>$X$26*Z27</f>
        <v>3.5</v>
      </c>
    </row>
    <row r="28" spans="2:27" x14ac:dyDescent="0.2">
      <c r="B28" s="119">
        <v>26</v>
      </c>
      <c r="C28" s="41">
        <f t="shared" si="2"/>
        <v>2.8888888888888888</v>
      </c>
      <c r="D28" s="44">
        <f t="shared" si="3"/>
        <v>3.4608888888888893</v>
      </c>
      <c r="E28" s="48"/>
      <c r="H28" s="350">
        <v>9</v>
      </c>
      <c r="I28" s="351"/>
      <c r="J28" s="25"/>
      <c r="K28" s="81">
        <v>9.99</v>
      </c>
      <c r="L28" s="144">
        <f>Breakdown!D32+Breakdown!C32</f>
        <v>7.3266666666666662</v>
      </c>
      <c r="M28" s="135">
        <f>Breakdown!I5+Breakdown!J5+Breakdown!K4+Breakdown!L5+Breakdown!M8+Breakdown!N8+Breakdown!P4+Breakdown!Q4+Breakdown!O7</f>
        <v>9.99</v>
      </c>
      <c r="N28" s="135">
        <f>SUM(Breakdown!I19:L19)+Breakdown!M18+Breakdown!N19+Breakdown!O17+Breakdown!P16+Breakdown!R18+Breakdown!S17+Breakdown!T17+Breakdown!U15</f>
        <v>9.99</v>
      </c>
      <c r="O28" s="137">
        <f>Breakdown!V8+Breakdown!W6+Breakdown!X4+Breakdown!Y7+Breakdown!Z4</f>
        <v>9.99</v>
      </c>
      <c r="T28" s="152">
        <v>9</v>
      </c>
      <c r="U28" s="155">
        <v>0.75</v>
      </c>
      <c r="V28" s="156">
        <f>1-U28</f>
        <v>0.25</v>
      </c>
      <c r="X28" s="152">
        <v>9</v>
      </c>
      <c r="Y28" s="240">
        <v>70000</v>
      </c>
      <c r="Z28" s="159">
        <f>Y28/$Y$30</f>
        <v>0.63636363636363635</v>
      </c>
      <c r="AA28" s="86">
        <f>$X$26*Z28</f>
        <v>4.4545454545454541</v>
      </c>
    </row>
    <row r="29" spans="2:27" x14ac:dyDescent="0.2">
      <c r="B29" s="119">
        <v>27</v>
      </c>
      <c r="C29" s="41">
        <f t="shared" si="2"/>
        <v>3</v>
      </c>
      <c r="D29" s="44">
        <f t="shared" si="3"/>
        <v>3.5940000000000003</v>
      </c>
      <c r="E29" s="48"/>
      <c r="H29" s="350">
        <v>10</v>
      </c>
      <c r="I29" s="351"/>
      <c r="J29" s="24"/>
      <c r="K29" s="81">
        <v>10.99</v>
      </c>
      <c r="L29" s="144">
        <f>Breakdown!D42+Breakdown!C42</f>
        <v>9.7688888888888901</v>
      </c>
      <c r="M29" s="135">
        <f>SUM(Breakdown!I6:L6)+Breakdown!M9+Breakdown!P5+Breakdown!Q7+Breakdown!R4+Breakdown!N8+Breakdown!O7</f>
        <v>10.99</v>
      </c>
      <c r="N29" s="135">
        <f>SUM(Breakdown!I20:L20)+Breakdown!M19+Breakdown!N20+Breakdown!O17+Breakdown!P18+Breakdown!Q15+Breakdown!R19+Breakdown!S18+Breakdown!T18+Breakdown!U15+Breakdown!V15</f>
        <v>10.990000000000002</v>
      </c>
      <c r="O29" s="137">
        <f>Breakdown!V8+Breakdown!W7+Breakdown!X6+Breakdown!Y8+Breakdown!Z5</f>
        <v>10.99</v>
      </c>
      <c r="T29" s="153">
        <v>10</v>
      </c>
      <c r="U29" s="155">
        <v>0.9</v>
      </c>
      <c r="V29" s="156">
        <f>1-U29</f>
        <v>9.9999999999999978E-2</v>
      </c>
      <c r="X29" s="153">
        <v>10</v>
      </c>
      <c r="Y29" s="240">
        <v>90000</v>
      </c>
      <c r="Z29" s="159">
        <f>Y29/$Y$30</f>
        <v>0.81818181818181823</v>
      </c>
      <c r="AA29" s="86">
        <f>$X$26*Z29</f>
        <v>5.7272727272727275</v>
      </c>
    </row>
    <row r="30" spans="2:27" ht="17" thickBot="1" x14ac:dyDescent="0.25">
      <c r="B30" s="119">
        <v>28</v>
      </c>
      <c r="C30" s="41">
        <f t="shared" si="2"/>
        <v>3.1111111111111107</v>
      </c>
      <c r="D30" s="44">
        <f t="shared" si="3"/>
        <v>3.7271111111111113</v>
      </c>
      <c r="E30" s="48"/>
      <c r="H30" s="346">
        <v>11</v>
      </c>
      <c r="I30" s="347"/>
      <c r="J30" s="23"/>
      <c r="K30" s="82">
        <v>11.99</v>
      </c>
      <c r="L30" s="134">
        <f>Breakdown!D47+Breakdown!C47+Breakdown!E22</f>
        <v>11.99</v>
      </c>
      <c r="M30" s="136">
        <f>Breakdown!I7+Breakdown!J6+Breakdown!K6+Breakdown!L6+Breakdown!M9+Breakdown!N8+Breakdown!O7+Breakdown!P5+Breakdown!Q7+Breakdown!R6</f>
        <v>11.989999999999998</v>
      </c>
      <c r="N30" s="136">
        <f>SUM(Breakdown!I20:J20)+Breakdown!K21+Breakdown!L20+Breakdown!M19+Breakdown!N20+Breakdown!O17+Breakdown!P18+Breakdown!Q17+Breakdown!R20+Breakdown!S18+Breakdown!T19+Breakdown!U16+Breakdown!V16</f>
        <v>11.990000000000002</v>
      </c>
      <c r="O30" s="138">
        <f>Breakdown!V9+Breakdown!W8+Breakdown!X7+Breakdown!Y9+Breakdown!Z6</f>
        <v>11.99</v>
      </c>
      <c r="T30" s="154">
        <v>11</v>
      </c>
      <c r="U30" s="157">
        <v>0.66</v>
      </c>
      <c r="V30" s="158">
        <f>1-U30</f>
        <v>0.33999999999999997</v>
      </c>
      <c r="X30" s="154">
        <v>11</v>
      </c>
      <c r="Y30" s="241">
        <v>110000</v>
      </c>
      <c r="Z30" s="161">
        <f>Y30/$Y$30</f>
        <v>1</v>
      </c>
      <c r="AA30" s="87">
        <f>$X$26*Z30</f>
        <v>7</v>
      </c>
    </row>
    <row r="31" spans="2:27" x14ac:dyDescent="0.2">
      <c r="B31" s="119">
        <v>29</v>
      </c>
      <c r="C31" s="41">
        <f t="shared" si="2"/>
        <v>3.2222222222222219</v>
      </c>
      <c r="D31" s="44">
        <f t="shared" si="3"/>
        <v>3.8602222222222227</v>
      </c>
      <c r="E31" s="48"/>
      <c r="Q31"/>
      <c r="R31"/>
      <c r="S31"/>
      <c r="T31"/>
    </row>
    <row r="32" spans="2:27" ht="17" thickBot="1" x14ac:dyDescent="0.25">
      <c r="B32" s="119">
        <v>30</v>
      </c>
      <c r="C32" s="126">
        <f t="shared" si="2"/>
        <v>3.333333333333333</v>
      </c>
      <c r="D32" s="128">
        <f t="shared" si="3"/>
        <v>3.9933333333333336</v>
      </c>
      <c r="E32" s="48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39"/>
      <c r="U32" s="184"/>
      <c r="V32" s="184"/>
    </row>
    <row r="33" spans="2:26" ht="17" thickBot="1" x14ac:dyDescent="0.25">
      <c r="B33" s="119">
        <v>31</v>
      </c>
      <c r="C33" s="41">
        <f t="shared" si="2"/>
        <v>3.4444444444444442</v>
      </c>
      <c r="D33" s="44">
        <f t="shared" si="3"/>
        <v>4.126444444444445</v>
      </c>
      <c r="E33" s="48"/>
      <c r="G33" s="184"/>
      <c r="H33" s="343" t="s">
        <v>60</v>
      </c>
      <c r="I33" s="344"/>
      <c r="J33" s="344"/>
      <c r="K33" s="344"/>
      <c r="L33" s="345"/>
      <c r="M33" s="238"/>
      <c r="N33" s="386" t="s">
        <v>45</v>
      </c>
      <c r="O33" s="387"/>
      <c r="P33" s="387"/>
      <c r="Q33" s="387"/>
      <c r="R33" s="388"/>
      <c r="S33" s="139"/>
      <c r="T33" s="139"/>
      <c r="U33" s="139"/>
      <c r="V33" s="184"/>
    </row>
    <row r="34" spans="2:26" ht="17" thickBot="1" x14ac:dyDescent="0.25">
      <c r="B34" s="119">
        <v>32</v>
      </c>
      <c r="C34" s="41">
        <f t="shared" si="2"/>
        <v>3.5555555555555554</v>
      </c>
      <c r="D34" s="44">
        <f t="shared" si="3"/>
        <v>4.259555555555556</v>
      </c>
      <c r="E34" s="48"/>
      <c r="G34" s="184"/>
      <c r="H34" s="162" t="s">
        <v>35</v>
      </c>
      <c r="I34" s="162" t="s">
        <v>58</v>
      </c>
      <c r="J34" s="28" t="s">
        <v>57</v>
      </c>
      <c r="K34" s="28" t="s">
        <v>47</v>
      </c>
      <c r="L34" s="162" t="s">
        <v>44</v>
      </c>
      <c r="M34" s="139"/>
      <c r="N34" s="149" t="s">
        <v>37</v>
      </c>
      <c r="O34" s="17" t="s">
        <v>38</v>
      </c>
      <c r="P34" s="17" t="s">
        <v>39</v>
      </c>
      <c r="Q34" s="17" t="s">
        <v>44</v>
      </c>
      <c r="R34" s="8" t="s">
        <v>47</v>
      </c>
      <c r="S34" s="139"/>
      <c r="T34" s="139"/>
      <c r="U34" s="139"/>
      <c r="V34" s="184"/>
      <c r="Y34" s="30"/>
      <c r="Z34" s="30"/>
    </row>
    <row r="35" spans="2:26" x14ac:dyDescent="0.2">
      <c r="B35" s="119">
        <v>33</v>
      </c>
      <c r="C35" s="41">
        <f t="shared" si="2"/>
        <v>3.6666666666666665</v>
      </c>
      <c r="D35" s="44">
        <f t="shared" si="3"/>
        <v>4.3926666666666669</v>
      </c>
      <c r="E35" s="48"/>
      <c r="G35" s="184"/>
      <c r="H35" s="167">
        <v>7</v>
      </c>
      <c r="I35" s="62">
        <f>(SUM(Template!$S$21:$S$25)+(Breakdown!K26-Breakdown!O26))*Breakdown!P35</f>
        <v>2.1920000000000002</v>
      </c>
      <c r="J35" s="62">
        <f>(SUM(Template!$S$4:$S$17)+(Breakdown!K26-Breakdown!N26))*Breakdown!O35</f>
        <v>5.7250000000000002E-2</v>
      </c>
      <c r="K35" s="62">
        <f>(SUM(Template!$X$10:$X$19)+(Breakdown!K26-Breakdown!M26))*Breakdown!R35</f>
        <v>7.4999999999999969E-2</v>
      </c>
      <c r="L35" s="95">
        <f>(SUM(Template!$X$4:$X$6)+(Breakdown!K26-Breakdown!L26))*Breakdown!Q35</f>
        <v>0.18311111111111111</v>
      </c>
      <c r="M35" s="139"/>
      <c r="N35" s="150">
        <v>7</v>
      </c>
      <c r="O35" s="159">
        <v>2.5000000000000001E-2</v>
      </c>
      <c r="P35" s="159">
        <v>0.8</v>
      </c>
      <c r="Q35" s="159">
        <v>2.5000000000000001E-2</v>
      </c>
      <c r="R35" s="160">
        <f>1-O35-P35-Q35</f>
        <v>0.14999999999999994</v>
      </c>
      <c r="S35" s="139"/>
      <c r="T35" s="139"/>
      <c r="U35" s="139"/>
      <c r="V35" s="184"/>
      <c r="Y35" s="21"/>
      <c r="Z35" s="21"/>
    </row>
    <row r="36" spans="2:26" x14ac:dyDescent="0.2">
      <c r="B36" s="119">
        <v>34</v>
      </c>
      <c r="C36" s="41">
        <f t="shared" si="2"/>
        <v>3.7777777777777777</v>
      </c>
      <c r="D36" s="44">
        <f t="shared" si="3"/>
        <v>4.5257777777777779</v>
      </c>
      <c r="E36" s="48"/>
      <c r="G36" s="184"/>
      <c r="H36" s="151">
        <v>8</v>
      </c>
      <c r="I36" s="56">
        <f>(SUM(Template!$S$21:$S$25)+(Breakdown!K27-Breakdown!O27))*Breakdown!P36</f>
        <v>1.1661000000000001</v>
      </c>
      <c r="J36" s="56">
        <f>(SUM(Template!$S$4:$S$17)+(Breakdown!K27-Breakdown!N27))*Breakdown!O36</f>
        <v>0</v>
      </c>
      <c r="K36" s="56">
        <f>(SUM(Template!$X$10:$X$19)+(Breakdown!K27-Breakdown!M27))*Breakdown!R36</f>
        <v>0</v>
      </c>
      <c r="L36" s="86">
        <f>(SUM(Template!$X$4:$X$6)+(Breakdown!K27-Breakdown!L27))*Breakdown!Q36</f>
        <v>0.76588888888888895</v>
      </c>
      <c r="M36" s="139"/>
      <c r="N36" s="151">
        <v>8</v>
      </c>
      <c r="O36" s="159">
        <v>0.39</v>
      </c>
      <c r="P36" s="159">
        <v>0.39</v>
      </c>
      <c r="Q36" s="159">
        <v>0.1</v>
      </c>
      <c r="R36" s="160">
        <f>1-O36-P36-Q36</f>
        <v>0.11999999999999997</v>
      </c>
      <c r="S36" s="139"/>
      <c r="T36" s="139"/>
      <c r="U36" s="139"/>
      <c r="V36" s="184"/>
      <c r="Y36" s="30"/>
      <c r="Z36" s="246"/>
    </row>
    <row r="37" spans="2:26" x14ac:dyDescent="0.2">
      <c r="B37" s="119">
        <v>35</v>
      </c>
      <c r="C37" s="41">
        <f t="shared" si="2"/>
        <v>3.8888888888888888</v>
      </c>
      <c r="D37" s="44">
        <f t="shared" si="3"/>
        <v>4.6588888888888897</v>
      </c>
      <c r="E37" s="48"/>
      <c r="G37" s="184"/>
      <c r="H37" s="152">
        <v>9</v>
      </c>
      <c r="I37" s="56">
        <f>(SUM(Template!$S$21:$S$25)+(Breakdown!K28-Breakdown!O28))*Breakdown!P37</f>
        <v>0</v>
      </c>
      <c r="J37" s="56">
        <f>(SUM(Template!$S$4:$S$17)+(Breakdown!K28-Breakdown!N28))*Breakdown!O37</f>
        <v>0</v>
      </c>
      <c r="K37" s="56">
        <f>(SUM(Template!$X$10:$X$19)+(Breakdown!K28-Breakdown!M28))*Breakdown!R37</f>
        <v>0</v>
      </c>
      <c r="L37" s="86">
        <f>(SUM(Template!$X$4:$X$6)+(Breakdown!K28-Breakdown!L28))*Breakdown!Q37</f>
        <v>0.79900000000000015</v>
      </c>
      <c r="M37" s="139"/>
      <c r="N37" s="152">
        <v>9</v>
      </c>
      <c r="O37" s="159">
        <v>0.4</v>
      </c>
      <c r="P37" s="159">
        <v>0.2</v>
      </c>
      <c r="Q37" s="159">
        <v>0.3</v>
      </c>
      <c r="R37" s="160">
        <f>1-O37-P37-Q37</f>
        <v>9.9999999999999978E-2</v>
      </c>
      <c r="S37" s="139"/>
      <c r="T37" s="139"/>
      <c r="U37" s="139"/>
      <c r="V37" s="184"/>
      <c r="Y37" s="30"/>
      <c r="Z37" s="246"/>
    </row>
    <row r="38" spans="2:26" x14ac:dyDescent="0.2">
      <c r="B38" s="119">
        <v>36</v>
      </c>
      <c r="C38" s="41">
        <f t="shared" si="2"/>
        <v>4</v>
      </c>
      <c r="D38" s="44">
        <f t="shared" si="3"/>
        <v>4.7920000000000007</v>
      </c>
      <c r="E38" s="48"/>
      <c r="G38" s="184"/>
      <c r="H38" s="153">
        <v>10</v>
      </c>
      <c r="I38" s="56">
        <f>(SUM(Template!$S$21:$S$25)+(Breakdown!K29-Breakdown!O29))*Breakdown!P38</f>
        <v>0</v>
      </c>
      <c r="J38" s="56">
        <f>(SUM(Template!$S$4:$S$17)+(Breakdown!K29-Breakdown!N29))*Breakdown!O38</f>
        <v>-7.1054273576010023E-16</v>
      </c>
      <c r="K38" s="56">
        <f>(SUM(Template!$X$10:$X$19)+(Breakdown!K29-Breakdown!M29))*Breakdown!R38</f>
        <v>0</v>
      </c>
      <c r="L38" s="86">
        <f>(SUM(Template!$X$4:$X$6)+(Breakdown!K29-Breakdown!L29))*Breakdown!Q38</f>
        <v>0.36633333333333301</v>
      </c>
      <c r="M38" s="139"/>
      <c r="N38" s="153">
        <v>10</v>
      </c>
      <c r="O38" s="159">
        <v>0.4</v>
      </c>
      <c r="P38" s="159">
        <v>0.22</v>
      </c>
      <c r="Q38" s="159">
        <v>0.3</v>
      </c>
      <c r="R38" s="160">
        <f>1-O38-P38-Q38</f>
        <v>8.0000000000000016E-2</v>
      </c>
      <c r="S38" s="139"/>
      <c r="T38" s="139"/>
      <c r="U38" s="139"/>
      <c r="V38" s="184"/>
      <c r="Y38" s="30"/>
      <c r="Z38" s="246"/>
    </row>
    <row r="39" spans="2:26" ht="17" thickBot="1" x14ac:dyDescent="0.25">
      <c r="B39" s="119">
        <v>37</v>
      </c>
      <c r="C39" s="41">
        <f t="shared" si="2"/>
        <v>4.1111111111111107</v>
      </c>
      <c r="D39" s="44">
        <f t="shared" si="3"/>
        <v>4.9251111111111117</v>
      </c>
      <c r="E39" s="48"/>
      <c r="G39" s="184"/>
      <c r="H39" s="169">
        <v>11</v>
      </c>
      <c r="I39" s="170">
        <f>(SUM(Template!$S$21:$S$25)+(Breakdown!K30-Breakdown!O30))*Breakdown!P39</f>
        <v>0</v>
      </c>
      <c r="J39" s="170">
        <f>(SUM(Template!$S$4:$S$17)+(Breakdown!K30-Breakdown!N30))*Breakdown!O39</f>
        <v>-7.1054273576010023E-16</v>
      </c>
      <c r="K39" s="170">
        <f>(SUM(Template!$X$10:$X$19)+(Breakdown!K30-Breakdown!M30))*Breakdown!R39</f>
        <v>1.0658141036401502E-16</v>
      </c>
      <c r="L39" s="171">
        <f>(SUM(Template!$X$4:$X$6)+(Breakdown!K30-Breakdown!L30))*Breakdown!Q39</f>
        <v>0</v>
      </c>
      <c r="M39" s="139"/>
      <c r="N39" s="154">
        <v>11</v>
      </c>
      <c r="O39" s="161">
        <v>0.4</v>
      </c>
      <c r="P39" s="161">
        <v>0.24</v>
      </c>
      <c r="Q39" s="161">
        <v>0.3</v>
      </c>
      <c r="R39" s="133">
        <f>1-O39-P39-Q39</f>
        <v>0.06</v>
      </c>
      <c r="S39" s="139"/>
      <c r="T39" s="139"/>
      <c r="U39" s="139"/>
      <c r="V39" s="184"/>
      <c r="Y39" s="30"/>
      <c r="Z39" s="246"/>
    </row>
    <row r="40" spans="2:26" ht="17" thickBot="1" x14ac:dyDescent="0.25">
      <c r="B40" s="119">
        <v>38</v>
      </c>
      <c r="C40" s="41">
        <f t="shared" si="2"/>
        <v>4.2222222222222223</v>
      </c>
      <c r="D40" s="44">
        <f t="shared" si="3"/>
        <v>5.0582222222222226</v>
      </c>
      <c r="E40" s="48"/>
      <c r="G40" s="184"/>
      <c r="H40" s="340" t="s">
        <v>62</v>
      </c>
      <c r="I40" s="341"/>
      <c r="J40" s="341"/>
      <c r="K40" s="341"/>
      <c r="L40" s="342"/>
      <c r="M40" s="139"/>
      <c r="N40" s="383" t="s">
        <v>61</v>
      </c>
      <c r="O40" s="384"/>
      <c r="P40" s="384"/>
      <c r="Q40" s="384"/>
      <c r="R40" s="385"/>
      <c r="S40" s="139"/>
      <c r="T40" s="139"/>
      <c r="U40" s="139"/>
      <c r="V40" s="184"/>
      <c r="Y40" s="30"/>
      <c r="Z40" s="246"/>
    </row>
    <row r="41" spans="2:26" ht="17" thickBot="1" x14ac:dyDescent="0.25">
      <c r="B41" s="119">
        <v>39</v>
      </c>
      <c r="C41" s="41">
        <f t="shared" si="2"/>
        <v>4.333333333333333</v>
      </c>
      <c r="D41" s="44">
        <f t="shared" si="3"/>
        <v>5.1913333333333336</v>
      </c>
      <c r="E41" s="48"/>
      <c r="G41" s="184"/>
      <c r="H41" s="383" t="s">
        <v>61</v>
      </c>
      <c r="I41" s="384"/>
      <c r="J41" s="384"/>
      <c r="K41" s="384"/>
      <c r="L41" s="385"/>
      <c r="M41" s="139"/>
      <c r="N41" s="139"/>
      <c r="O41" s="139"/>
      <c r="P41" s="139"/>
      <c r="Q41" s="139"/>
      <c r="R41" s="139"/>
      <c r="S41" s="139"/>
      <c r="T41" s="139"/>
      <c r="U41" s="139"/>
      <c r="V41" s="184"/>
    </row>
    <row r="42" spans="2:26" x14ac:dyDescent="0.2">
      <c r="B42" s="125">
        <v>40</v>
      </c>
      <c r="C42" s="127">
        <f t="shared" si="2"/>
        <v>4.4444444444444446</v>
      </c>
      <c r="D42" s="129">
        <f t="shared" si="3"/>
        <v>5.3244444444444454</v>
      </c>
      <c r="E42" s="48"/>
      <c r="G42" s="184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84"/>
    </row>
    <row r="43" spans="2:26" ht="17" thickBot="1" x14ac:dyDescent="0.25">
      <c r="B43" s="119">
        <v>41</v>
      </c>
      <c r="C43" s="41">
        <f t="shared" si="2"/>
        <v>4.5555555555555554</v>
      </c>
      <c r="D43" s="44">
        <f t="shared" si="3"/>
        <v>5.4575555555555564</v>
      </c>
      <c r="E43" s="48"/>
      <c r="G43" s="184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84"/>
    </row>
    <row r="44" spans="2:26" ht="17" thickBot="1" x14ac:dyDescent="0.25">
      <c r="B44" s="119">
        <v>42</v>
      </c>
      <c r="C44" s="41">
        <f t="shared" si="2"/>
        <v>4.6666666666666661</v>
      </c>
      <c r="D44" s="44">
        <f t="shared" si="3"/>
        <v>5.5906666666666673</v>
      </c>
      <c r="E44" s="48"/>
      <c r="G44" s="184"/>
      <c r="H44" s="343" t="s">
        <v>63</v>
      </c>
      <c r="I44" s="344"/>
      <c r="J44" s="344"/>
      <c r="K44" s="345"/>
      <c r="L44" s="139"/>
      <c r="M44" s="343" t="s">
        <v>64</v>
      </c>
      <c r="N44" s="344"/>
      <c r="O44" s="344"/>
      <c r="P44" s="345"/>
      <c r="Q44" s="139"/>
      <c r="R44" s="343" t="s">
        <v>65</v>
      </c>
      <c r="S44" s="344"/>
      <c r="T44" s="344"/>
      <c r="U44" s="345"/>
      <c r="V44" s="184"/>
    </row>
    <row r="45" spans="2:26" ht="17" thickBot="1" x14ac:dyDescent="0.25">
      <c r="B45" s="119">
        <v>43</v>
      </c>
      <c r="C45" s="41">
        <f t="shared" si="2"/>
        <v>4.7777777777777777</v>
      </c>
      <c r="D45" s="44">
        <f t="shared" si="3"/>
        <v>5.7237777777777783</v>
      </c>
      <c r="E45" s="48"/>
      <c r="G45" s="184"/>
      <c r="H45" s="162" t="s">
        <v>35</v>
      </c>
      <c r="I45" s="162" t="s">
        <v>58</v>
      </c>
      <c r="J45" s="28" t="s">
        <v>57</v>
      </c>
      <c r="K45" s="162" t="s">
        <v>47</v>
      </c>
      <c r="L45" s="139"/>
      <c r="M45" s="162" t="s">
        <v>35</v>
      </c>
      <c r="N45" s="162" t="s">
        <v>58</v>
      </c>
      <c r="O45" s="28" t="s">
        <v>57</v>
      </c>
      <c r="P45" s="162" t="s">
        <v>47</v>
      </c>
      <c r="Q45" s="139"/>
      <c r="R45" s="162" t="s">
        <v>35</v>
      </c>
      <c r="S45" s="162" t="s">
        <v>58</v>
      </c>
      <c r="T45" s="28" t="s">
        <v>57</v>
      </c>
      <c r="U45" s="162" t="s">
        <v>47</v>
      </c>
      <c r="V45" s="184"/>
    </row>
    <row r="46" spans="2:26" x14ac:dyDescent="0.2">
      <c r="B46" s="125">
        <v>44</v>
      </c>
      <c r="C46" s="41">
        <f t="shared" si="2"/>
        <v>4.8888888888888884</v>
      </c>
      <c r="D46" s="44">
        <f t="shared" si="3"/>
        <v>5.8568888888888893</v>
      </c>
      <c r="E46" s="48"/>
      <c r="G46" s="184"/>
      <c r="H46" s="167">
        <v>7</v>
      </c>
      <c r="I46" s="62">
        <f>SUM(Template!$S$21:$S$25)*Breakdown!P35</f>
        <v>0</v>
      </c>
      <c r="J46" s="62">
        <f>SUM(Template!$S$4:$S$17)*Breakdown!O35</f>
        <v>0</v>
      </c>
      <c r="K46" s="63">
        <f>SUM(Template!$X$10:$X$19)*Breakdown!R35</f>
        <v>0</v>
      </c>
      <c r="L46" s="235"/>
      <c r="M46" s="167">
        <v>7</v>
      </c>
      <c r="N46" s="62">
        <f>IFERROR(IF(I46&gt;(VLOOKUP(Template!$F$4,Breakdown!$H$26:$K$30,4,FALSE)*Breakdown!P35),(VLOOKUP(Template!$F$4,Breakdown!$H$26:$K$30,4,FALSE)*Breakdown!P35),I46),0)</f>
        <v>0</v>
      </c>
      <c r="O46" s="62">
        <f>IFERROR(IF(J46&gt;(VLOOKUP(Template!$F$4,Breakdown!$H$26:$K$30,4,FALSE)*Breakdown!O35),(VLOOKUP(Template!$F$4,Breakdown!$H$26:$K$30,4,FALSE)*Breakdown!O35),J46),0)</f>
        <v>0</v>
      </c>
      <c r="P46" s="63">
        <f>IFERROR(IF(K46&gt;(VLOOKUP(Template!$F$4,Breakdown!$H$26:$K$30,4,FALSE)),(VLOOKUP(Template!$F$4,Breakdown!$H$26:$K$30,4,FALSE)),K46),0)</f>
        <v>0</v>
      </c>
      <c r="Q46" s="139"/>
      <c r="R46" s="167">
        <v>7</v>
      </c>
      <c r="S46" s="62">
        <f>Breakdown!K26*P35</f>
        <v>6.3920000000000003</v>
      </c>
      <c r="T46" s="62">
        <f>Breakdown!K26*O35</f>
        <v>0.19975000000000001</v>
      </c>
      <c r="U46" s="63">
        <f>Breakdown!K26*R35</f>
        <v>1.1984999999999995</v>
      </c>
      <c r="V46" s="184"/>
    </row>
    <row r="47" spans="2:26" ht="17" thickBot="1" x14ac:dyDescent="0.25">
      <c r="B47" s="120">
        <v>45</v>
      </c>
      <c r="C47" s="43">
        <v>5</v>
      </c>
      <c r="D47" s="45">
        <v>5.99</v>
      </c>
      <c r="E47" s="49"/>
      <c r="G47" s="184"/>
      <c r="H47" s="151">
        <v>8</v>
      </c>
      <c r="I47" s="56">
        <f>SUM(Template!$S$21:$S$25)*Breakdown!P36</f>
        <v>0</v>
      </c>
      <c r="J47" s="56">
        <f>SUM(Template!$S$4:$S$17)*Breakdown!O36</f>
        <v>0</v>
      </c>
      <c r="K47" s="65">
        <f>SUM(Template!$X$10:$X$19)*Breakdown!R36</f>
        <v>0</v>
      </c>
      <c r="L47" s="236"/>
      <c r="M47" s="151">
        <v>8</v>
      </c>
      <c r="N47" s="56">
        <f>IFERROR(IF(I47&gt;(VLOOKUP(Template!$F$4,Breakdown!$H$26:$K$30,4,FALSE)*Breakdown!P36),(VLOOKUP(Template!$F$4,Breakdown!$H$26:$K$30,4,FALSE)*Breakdown!P36),I47),0)</f>
        <v>0</v>
      </c>
      <c r="O47" s="56">
        <f>IFERROR(IF(J47&gt;(VLOOKUP(Template!$F$4,Breakdown!$H$26:$K$30,4,FALSE)*Breakdown!O36),(VLOOKUP(Template!$F$4,Breakdown!$H$26:$K$30,4,FALSE)*Breakdown!O36),J47),0)</f>
        <v>0</v>
      </c>
      <c r="P47" s="65">
        <f>IFERROR(IF(K47&gt;(VLOOKUP(Template!$F$4,Breakdown!$H$26:$K$30,4,FALSE)),(VLOOKUP(Template!$F$4,Breakdown!$H$26:$K$30,4,FALSE)),K47),0)</f>
        <v>0</v>
      </c>
      <c r="Q47" s="139"/>
      <c r="R47" s="151">
        <v>8</v>
      </c>
      <c r="S47" s="56">
        <f>Breakdown!K27*P36</f>
        <v>3.5061</v>
      </c>
      <c r="T47" s="56">
        <f>Breakdown!K27*O36</f>
        <v>3.5061</v>
      </c>
      <c r="U47" s="65">
        <f>Breakdown!K27*R36</f>
        <v>1.0787999999999998</v>
      </c>
      <c r="V47" s="184"/>
    </row>
    <row r="48" spans="2:26" x14ac:dyDescent="0.2">
      <c r="G48" s="184"/>
      <c r="H48" s="152">
        <v>9</v>
      </c>
      <c r="I48" s="56">
        <f>SUM(Template!$S$21:$S$25)*Breakdown!P37</f>
        <v>0</v>
      </c>
      <c r="J48" s="56">
        <f>SUM(Template!$S$4:$S$17)*Breakdown!O37</f>
        <v>0</v>
      </c>
      <c r="K48" s="65">
        <f>SUM(Template!$X$10:$X$19)*Breakdown!R37</f>
        <v>0</v>
      </c>
      <c r="L48" s="236"/>
      <c r="M48" s="152">
        <v>9</v>
      </c>
      <c r="N48" s="56">
        <f>IFERROR(IF(I48&gt;(VLOOKUP(Template!$F$4,Breakdown!$H$26:$K$30,4,FALSE)*Breakdown!P37),(VLOOKUP(Template!$F$4,Breakdown!$H$26:$K$30,4,FALSE)*Breakdown!P37),I48),0)</f>
        <v>0</v>
      </c>
      <c r="O48" s="56">
        <f>IFERROR(IF(J48&gt;(VLOOKUP(Template!$F$4,Breakdown!$H$26:$K$30,4,FALSE)*Breakdown!O37),(VLOOKUP(Template!$F$4,Breakdown!$H$26:$K$30,4,FALSE)*Breakdown!O37),J48),0)</f>
        <v>0</v>
      </c>
      <c r="P48" s="65">
        <f>IFERROR(IF(K48&gt;(VLOOKUP(Template!$F$4,Breakdown!$H$26:$K$30,4,FALSE)),(VLOOKUP(Template!$F$4,Breakdown!$H$26:$K$30,4,FALSE)),K48),0)</f>
        <v>0</v>
      </c>
      <c r="Q48" s="139"/>
      <c r="R48" s="152">
        <v>9</v>
      </c>
      <c r="S48" s="56">
        <f>Breakdown!K28*P37</f>
        <v>1.9980000000000002</v>
      </c>
      <c r="T48" s="56">
        <f>Breakdown!K28*O37</f>
        <v>3.9960000000000004</v>
      </c>
      <c r="U48" s="65">
        <f>Breakdown!K28*R37</f>
        <v>0.99899999999999978</v>
      </c>
      <c r="V48" s="184"/>
    </row>
    <row r="49" spans="7:22" x14ac:dyDescent="0.2">
      <c r="G49" s="184"/>
      <c r="H49" s="153">
        <v>10</v>
      </c>
      <c r="I49" s="56">
        <f>SUM(Template!$S$21:$S$25)*Breakdown!P38</f>
        <v>0</v>
      </c>
      <c r="J49" s="56">
        <f>SUM(Template!$S$4:$S$17)*Breakdown!O38</f>
        <v>0</v>
      </c>
      <c r="K49" s="65">
        <f>SUM(Template!$X$10:$X$19)*Breakdown!R38</f>
        <v>0</v>
      </c>
      <c r="L49" s="236"/>
      <c r="M49" s="153">
        <v>10</v>
      </c>
      <c r="N49" s="56">
        <f>IFERROR(IF(I49&gt;(VLOOKUP(Template!$F$4,Breakdown!$H$26:$K$30,4,FALSE)*Breakdown!P38),(VLOOKUP(Template!$F$4,Breakdown!$H$26:$K$30,4,FALSE)*Breakdown!P38),I49),0)</f>
        <v>0</v>
      </c>
      <c r="O49" s="56">
        <f>IFERROR(IF(J49&gt;(VLOOKUP(Template!$F$4,Breakdown!$H$26:$K$30,4,FALSE)*Breakdown!O38),(VLOOKUP(Template!$F$4,Breakdown!$H$26:$K$30,4,FALSE)*Breakdown!O38),J49),0)</f>
        <v>0</v>
      </c>
      <c r="P49" s="65">
        <f>IFERROR(IF(K49&gt;(VLOOKUP(Template!$F$4,Breakdown!$H$26:$K$30,4,FALSE)),(VLOOKUP(Template!$F$4,Breakdown!$H$26:$K$30,4,FALSE)),K49),0)</f>
        <v>0</v>
      </c>
      <c r="Q49" s="139"/>
      <c r="R49" s="153">
        <v>10</v>
      </c>
      <c r="S49" s="56">
        <f>Breakdown!K29*P38</f>
        <v>2.4178000000000002</v>
      </c>
      <c r="T49" s="56">
        <f>Breakdown!K29*O38</f>
        <v>4.3959999999999999</v>
      </c>
      <c r="U49" s="65">
        <f>Breakdown!K29*R38</f>
        <v>0.8792000000000002</v>
      </c>
      <c r="V49" s="184"/>
    </row>
    <row r="50" spans="7:22" ht="17" thickBot="1" x14ac:dyDescent="0.25">
      <c r="G50" s="184"/>
      <c r="H50" s="154">
        <v>11</v>
      </c>
      <c r="I50" s="67">
        <f>SUM(Template!$S$21:$S$25)*Breakdown!P39</f>
        <v>0</v>
      </c>
      <c r="J50" s="67">
        <f>SUM(Template!$S$4:$S$17)*Breakdown!O39</f>
        <v>0</v>
      </c>
      <c r="K50" s="69">
        <f>SUM(Template!$X$10:$X$19)*Breakdown!R39</f>
        <v>0</v>
      </c>
      <c r="L50" s="236"/>
      <c r="M50" s="154">
        <v>11</v>
      </c>
      <c r="N50" s="67">
        <f>IFERROR(IF(I50&gt;(VLOOKUP(Template!$F$4,Breakdown!$H$26:$K$30,4,FALSE)*Breakdown!P39),(VLOOKUP(Template!$F$4,Breakdown!$H$26:$K$30,4,FALSE)*Breakdown!P39),I50),0)</f>
        <v>0</v>
      </c>
      <c r="O50" s="67">
        <f>IFERROR(IF(J50&gt;(VLOOKUP(Template!$F$4,Breakdown!$H$26:$K$30,4,FALSE)*Breakdown!O39),(VLOOKUP(Template!$F$4,Breakdown!$H$26:$K$30,4,FALSE)*Breakdown!O39),J50),0)</f>
        <v>0</v>
      </c>
      <c r="P50" s="69">
        <f>IFERROR(IF(K50&gt;(VLOOKUP(Template!$F$4,Breakdown!$H$26:$K$30,4,FALSE)),(VLOOKUP(Template!$F$4,Breakdown!$H$26:$K$30,4,FALSE)),K50),0)</f>
        <v>0</v>
      </c>
      <c r="Q50" s="139"/>
      <c r="R50" s="154">
        <v>11</v>
      </c>
      <c r="S50" s="67">
        <f>Breakdown!K30*P39</f>
        <v>2.8776000000000002</v>
      </c>
      <c r="T50" s="67">
        <f>Breakdown!K30*O39</f>
        <v>4.7960000000000003</v>
      </c>
      <c r="U50" s="69">
        <f>Breakdown!K30*R39</f>
        <v>0.71940000000000004</v>
      </c>
      <c r="V50" s="184"/>
    </row>
    <row r="51" spans="7:22" ht="17" thickBot="1" x14ac:dyDescent="0.25">
      <c r="G51" s="184"/>
      <c r="H51" s="340" t="s">
        <v>62</v>
      </c>
      <c r="I51" s="341"/>
      <c r="J51" s="341"/>
      <c r="K51" s="342"/>
      <c r="L51" s="236"/>
      <c r="M51" s="340" t="s">
        <v>62</v>
      </c>
      <c r="N51" s="341"/>
      <c r="O51" s="341"/>
      <c r="P51" s="342"/>
      <c r="Q51" s="139"/>
      <c r="R51" s="383" t="s">
        <v>61</v>
      </c>
      <c r="S51" s="384"/>
      <c r="T51" s="384"/>
      <c r="U51" s="385"/>
      <c r="V51" s="184"/>
    </row>
    <row r="52" spans="7:22" ht="17" thickBot="1" x14ac:dyDescent="0.25">
      <c r="G52" s="184"/>
      <c r="H52" s="383" t="s">
        <v>61</v>
      </c>
      <c r="I52" s="384"/>
      <c r="J52" s="384"/>
      <c r="K52" s="385"/>
      <c r="L52" s="237"/>
      <c r="M52" s="383" t="s">
        <v>61</v>
      </c>
      <c r="N52" s="384"/>
      <c r="O52" s="384"/>
      <c r="P52" s="385"/>
      <c r="Q52" s="237"/>
      <c r="R52" s="184"/>
      <c r="S52" s="184"/>
      <c r="T52" s="184"/>
      <c r="U52" s="184"/>
      <c r="V52" s="184"/>
    </row>
    <row r="53" spans="7:22" ht="17" thickBot="1" x14ac:dyDescent="0.25">
      <c r="G53" s="184"/>
      <c r="H53" s="139"/>
      <c r="I53" s="139"/>
      <c r="J53" s="139"/>
      <c r="K53" s="139"/>
      <c r="L53" s="139"/>
      <c r="M53" s="184"/>
      <c r="N53" s="184"/>
      <c r="O53" s="184"/>
      <c r="P53" s="184"/>
      <c r="Q53" s="184"/>
      <c r="R53" s="184"/>
      <c r="S53" s="184"/>
      <c r="T53" s="184"/>
      <c r="U53" s="184"/>
      <c r="V53" s="237"/>
    </row>
    <row r="54" spans="7:22" ht="17" thickBot="1" x14ac:dyDescent="0.25">
      <c r="G54" s="184"/>
      <c r="H54" s="139"/>
      <c r="I54" s="139"/>
      <c r="J54" s="139"/>
      <c r="K54" s="139"/>
      <c r="L54" s="139"/>
      <c r="M54" s="139"/>
      <c r="N54" s="139"/>
      <c r="O54" s="139"/>
      <c r="P54" s="139"/>
      <c r="Q54" s="184"/>
      <c r="R54" s="371" t="s">
        <v>76</v>
      </c>
      <c r="S54" s="372"/>
      <c r="T54" s="372"/>
      <c r="U54" s="373"/>
      <c r="V54" s="184"/>
    </row>
    <row r="55" spans="7:22" ht="17" thickBot="1" x14ac:dyDescent="0.25">
      <c r="G55" s="184"/>
      <c r="H55" s="359" t="s">
        <v>66</v>
      </c>
      <c r="I55" s="360"/>
      <c r="J55" s="360"/>
      <c r="K55" s="361"/>
      <c r="L55" s="139"/>
      <c r="M55" s="359" t="s">
        <v>67</v>
      </c>
      <c r="N55" s="360"/>
      <c r="O55" s="360"/>
      <c r="P55" s="361"/>
      <c r="Q55" s="184"/>
      <c r="R55" s="374"/>
      <c r="S55" s="375"/>
      <c r="T55" s="375"/>
      <c r="U55" s="376"/>
      <c r="V55" s="184"/>
    </row>
    <row r="56" spans="7:22" ht="16" customHeight="1" x14ac:dyDescent="0.2">
      <c r="G56" s="184"/>
      <c r="H56" s="353"/>
      <c r="I56" s="380">
        <f>IFERROR(IF(SUM(Template!S18+Template!S26+Template!X7+Template!X20)&gt;VLOOKUP(Template!F4,Breakdown!H26:K30,4,FALSE),VLOOKUP(Template!F4,Breakdown!H26:K30,4,FALSE),SUM(Template!S18+Template!S26+Template!X7+Template!X20)),0)</f>
        <v>0</v>
      </c>
      <c r="J56" s="284"/>
      <c r="K56" s="353"/>
      <c r="L56" s="139"/>
      <c r="M56" s="353"/>
      <c r="N56" s="362">
        <f>IFERROR(Breakdown!I56/VLOOKUP(Template!$F$4,Breakdown!H26:K30,4,FALSE),0)</f>
        <v>0</v>
      </c>
      <c r="O56" s="363"/>
      <c r="P56" s="353"/>
      <c r="Q56" s="184"/>
      <c r="R56" s="374" t="s">
        <v>77</v>
      </c>
      <c r="S56" s="375"/>
      <c r="T56" s="375"/>
      <c r="U56" s="376"/>
      <c r="V56" s="184"/>
    </row>
    <row r="57" spans="7:22" ht="16" customHeight="1" thickBot="1" x14ac:dyDescent="0.25">
      <c r="G57" s="184"/>
      <c r="H57" s="354"/>
      <c r="I57" s="381"/>
      <c r="J57" s="286"/>
      <c r="K57" s="354"/>
      <c r="L57" s="139"/>
      <c r="M57" s="354"/>
      <c r="N57" s="364"/>
      <c r="O57" s="365"/>
      <c r="P57" s="354"/>
      <c r="Q57" s="184"/>
      <c r="R57" s="377"/>
      <c r="S57" s="378"/>
      <c r="T57" s="378"/>
      <c r="U57" s="379"/>
      <c r="V57" s="184"/>
    </row>
    <row r="58" spans="7:22" ht="17" customHeight="1" thickBot="1" x14ac:dyDescent="0.25">
      <c r="G58" s="184"/>
      <c r="H58" s="355"/>
      <c r="I58" s="382"/>
      <c r="J58" s="288"/>
      <c r="K58" s="355"/>
      <c r="L58" s="139"/>
      <c r="M58" s="355"/>
      <c r="N58" s="366"/>
      <c r="O58" s="367"/>
      <c r="P58" s="355"/>
      <c r="Q58" s="184"/>
      <c r="R58" s="184"/>
      <c r="S58" s="184"/>
      <c r="T58" s="184"/>
      <c r="U58" s="184"/>
      <c r="V58" s="184"/>
    </row>
    <row r="59" spans="7:22" ht="17" thickBot="1" x14ac:dyDescent="0.25">
      <c r="G59" s="184"/>
      <c r="H59" s="356" t="s">
        <v>61</v>
      </c>
      <c r="I59" s="357"/>
      <c r="J59" s="357"/>
      <c r="K59" s="358"/>
      <c r="L59" s="139"/>
      <c r="M59" s="368" t="s">
        <v>61</v>
      </c>
      <c r="N59" s="369"/>
      <c r="O59" s="369"/>
      <c r="P59" s="370"/>
      <c r="Q59" s="184"/>
      <c r="R59" s="184"/>
      <c r="S59" s="184"/>
      <c r="T59" s="184"/>
      <c r="U59" s="184"/>
      <c r="V59" s="184"/>
    </row>
    <row r="60" spans="7:22" x14ac:dyDescent="0.2">
      <c r="G60" s="184"/>
      <c r="H60" s="139"/>
      <c r="I60" s="139"/>
      <c r="J60" s="139"/>
      <c r="K60" s="139"/>
      <c r="L60" s="139"/>
      <c r="M60" s="139"/>
      <c r="N60" s="139"/>
      <c r="O60" s="139"/>
      <c r="P60" s="139"/>
      <c r="Q60" s="184"/>
      <c r="R60" s="184"/>
      <c r="S60" s="184"/>
      <c r="T60" s="184"/>
      <c r="U60" s="184"/>
      <c r="V60" s="184"/>
    </row>
  </sheetData>
  <mergeCells count="36">
    <mergeCell ref="X24:AA24"/>
    <mergeCell ref="T24:V24"/>
    <mergeCell ref="R54:U55"/>
    <mergeCell ref="R56:U57"/>
    <mergeCell ref="I56:J58"/>
    <mergeCell ref="H52:K52"/>
    <mergeCell ref="N33:R33"/>
    <mergeCell ref="H33:L33"/>
    <mergeCell ref="H40:L40"/>
    <mergeCell ref="H41:L41"/>
    <mergeCell ref="N40:R40"/>
    <mergeCell ref="H44:K44"/>
    <mergeCell ref="R51:U51"/>
    <mergeCell ref="M52:P52"/>
    <mergeCell ref="H51:K51"/>
    <mergeCell ref="R44:U44"/>
    <mergeCell ref="H56:H58"/>
    <mergeCell ref="K56:K58"/>
    <mergeCell ref="H59:K59"/>
    <mergeCell ref="M55:P55"/>
    <mergeCell ref="M56:M58"/>
    <mergeCell ref="N56:O58"/>
    <mergeCell ref="P56:P58"/>
    <mergeCell ref="M59:P59"/>
    <mergeCell ref="H55:K55"/>
    <mergeCell ref="H24:O24"/>
    <mergeCell ref="Q26:R26"/>
    <mergeCell ref="Q25:R25"/>
    <mergeCell ref="M51:P51"/>
    <mergeCell ref="M44:P44"/>
    <mergeCell ref="H30:I30"/>
    <mergeCell ref="H25:I25"/>
    <mergeCell ref="H28:I28"/>
    <mergeCell ref="H27:I27"/>
    <mergeCell ref="H26:I26"/>
    <mergeCell ref="H29:I29"/>
  </mergeCells>
  <pageMargins left="0.7" right="0.7" top="0.75" bottom="0.75" header="0.3" footer="0.3"/>
  <ignoredErrors>
    <ignoredError sqref="M26:O30" formulaRange="1"/>
    <ignoredError sqref="T46:U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Breakdown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2016-12-24T09:45:23Z</dcterms:created>
  <dcterms:modified xsi:type="dcterms:W3CDTF">2017-01-12T04:57:12Z</dcterms:modified>
</cp:coreProperties>
</file>